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beit\Greifswald Moor Centrum\GMC Schriftenreihe\2021\2021-05_Martin&amp;Couwenberg\"/>
    </mc:Choice>
  </mc:AlternateContent>
  <bookViews>
    <workbookView xWindow="0" yWindow="0" windowWidth="19200" windowHeight="6760" tabRatio="853" activeTab="12"/>
  </bookViews>
  <sheets>
    <sheet name="Summary" sheetId="1" r:id="rId1"/>
    <sheet name="GWP CFs" sheetId="3" r:id="rId2"/>
    <sheet name="EFs" sheetId="2" r:id="rId3"/>
    <sheet name="Legend" sheetId="35" r:id="rId4"/>
    <sheet name="AUT" sheetId="8" r:id="rId5"/>
    <sheet name="BEL" sheetId="9" r:id="rId6"/>
    <sheet name="BGR" sheetId="10" r:id="rId7"/>
    <sheet name="CYP" sheetId="11" r:id="rId8"/>
    <sheet name="CZE" sheetId="12" r:id="rId9"/>
    <sheet name="DEU" sheetId="4" r:id="rId10"/>
    <sheet name="DNK" sheetId="13" r:id="rId11"/>
    <sheet name="ESP" sheetId="14" r:id="rId12"/>
    <sheet name="EST" sheetId="15" r:id="rId13"/>
    <sheet name="FIN" sheetId="16" r:id="rId14"/>
    <sheet name="FRA" sheetId="17" r:id="rId15"/>
    <sheet name="GBR" sheetId="34" r:id="rId16"/>
    <sheet name="GRC" sheetId="18" r:id="rId17"/>
    <sheet name="HRV" sheetId="33" r:id="rId18"/>
    <sheet name="HUN" sheetId="19" r:id="rId19"/>
    <sheet name="IRL" sheetId="20" r:id="rId20"/>
    <sheet name="ITA" sheetId="21" r:id="rId21"/>
    <sheet name="LTU" sheetId="22" r:id="rId22"/>
    <sheet name="LUX" sheetId="23" r:id="rId23"/>
    <sheet name="LVA" sheetId="24" r:id="rId24"/>
    <sheet name="MLT" sheetId="25" r:id="rId25"/>
    <sheet name="NLD" sheetId="26" r:id="rId26"/>
    <sheet name="POL" sheetId="27" r:id="rId27"/>
    <sheet name="PRT" sheetId="28" r:id="rId28"/>
    <sheet name="ROU" sheetId="29" r:id="rId29"/>
    <sheet name="SVK" sheetId="30" r:id="rId30"/>
    <sheet name="SVN" sheetId="31" r:id="rId31"/>
    <sheet name="SWE" sheetId="32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</externalReferences>
  <calcPr calcId="162913" iterateDelta="1E-4"/>
</workbook>
</file>

<file path=xl/calcChain.xml><?xml version="1.0" encoding="utf-8"?>
<calcChain xmlns="http://schemas.openxmlformats.org/spreadsheetml/2006/main">
  <c r="D22" i="1" l="1"/>
  <c r="U33" i="22"/>
  <c r="U29" i="22"/>
  <c r="O26" i="22"/>
  <c r="U26" i="22" s="1"/>
  <c r="T30" i="22"/>
  <c r="T29" i="22"/>
  <c r="S29" i="22"/>
  <c r="S26" i="22"/>
  <c r="T27" i="22"/>
  <c r="T26" i="22"/>
  <c r="M26" i="22"/>
  <c r="U26" i="20"/>
  <c r="O26" i="20"/>
  <c r="T27" i="20"/>
  <c r="N27" i="20"/>
  <c r="N26" i="20"/>
  <c r="M26" i="20"/>
  <c r="M26" i="17" l="1"/>
  <c r="M20" i="17"/>
  <c r="U26" i="26" l="1"/>
  <c r="T27" i="26"/>
  <c r="T26" i="20" l="1"/>
  <c r="S26" i="20"/>
  <c r="U26" i="32" l="1"/>
  <c r="T27" i="32"/>
  <c r="T26" i="32"/>
  <c r="S26" i="32"/>
  <c r="U20" i="32"/>
  <c r="T21" i="32"/>
  <c r="T20" i="32"/>
  <c r="B17" i="2"/>
  <c r="S20" i="32" s="1"/>
  <c r="B18" i="2"/>
  <c r="Y26" i="22"/>
  <c r="Y20" i="22"/>
  <c r="U29" i="20"/>
  <c r="T30" i="20"/>
  <c r="T29" i="20"/>
  <c r="S29" i="20"/>
  <c r="U26" i="8"/>
  <c r="T27" i="8"/>
  <c r="T26" i="8"/>
  <c r="T27" i="16" l="1"/>
  <c r="T26" i="16"/>
  <c r="T21" i="16"/>
  <c r="T20" i="16"/>
  <c r="U26" i="13" l="1"/>
  <c r="T27" i="13"/>
  <c r="T26" i="13"/>
  <c r="U20" i="13"/>
  <c r="T20" i="13"/>
  <c r="T21" i="13"/>
  <c r="B26" i="22" l="1"/>
  <c r="B20" i="22"/>
  <c r="B15" i="2"/>
  <c r="S26" i="34" s="1"/>
  <c r="U26" i="34"/>
  <c r="T27" i="34"/>
  <c r="T26" i="34"/>
  <c r="U20" i="34"/>
  <c r="T21" i="34"/>
  <c r="T20" i="34"/>
  <c r="S20" i="34"/>
  <c r="B26" i="17" l="1"/>
  <c r="B20" i="17"/>
  <c r="U26" i="16"/>
  <c r="S26" i="16"/>
  <c r="U20" i="16"/>
  <c r="S20" i="16"/>
  <c r="U26" i="4" l="1"/>
  <c r="T27" i="4"/>
  <c r="T26" i="4"/>
  <c r="S26" i="4"/>
  <c r="U20" i="4"/>
  <c r="T21" i="4"/>
  <c r="T20" i="4"/>
  <c r="S20" i="4"/>
  <c r="Y26" i="13" l="1"/>
  <c r="Y20" i="13"/>
  <c r="N26" i="13" l="1"/>
  <c r="O26" i="13"/>
  <c r="N27" i="13"/>
  <c r="N20" i="13"/>
  <c r="N21" i="13"/>
  <c r="O20" i="13"/>
  <c r="B9" i="2"/>
  <c r="E9" i="2"/>
  <c r="B8" i="2" l="1"/>
  <c r="Y20" i="34" l="1"/>
  <c r="Y16" i="34"/>
  <c r="Y17" i="34"/>
  <c r="B16" i="34"/>
  <c r="E17" i="34"/>
  <c r="E20" i="34"/>
  <c r="U29" i="15"/>
  <c r="T30" i="15"/>
  <c r="T29" i="15"/>
  <c r="N20" i="34" l="1"/>
  <c r="M20" i="34"/>
  <c r="N21" i="34"/>
  <c r="O20" i="34"/>
  <c r="AW25" i="1"/>
  <c r="AX25" i="1" s="1"/>
  <c r="AW26" i="1"/>
  <c r="AX26" i="1" s="1"/>
  <c r="AW27" i="1"/>
  <c r="AX27" i="1" s="1"/>
  <c r="AW28" i="1"/>
  <c r="AX28" i="1" s="1"/>
  <c r="AW29" i="1"/>
  <c r="AX29" i="1" s="1"/>
  <c r="X37" i="1"/>
  <c r="X36" i="1"/>
  <c r="X35" i="1"/>
  <c r="X34" i="1"/>
  <c r="X33" i="1"/>
  <c r="X32" i="1"/>
  <c r="X31" i="1"/>
  <c r="X30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25" i="1"/>
  <c r="AL25" i="1" s="1"/>
  <c r="X26" i="1"/>
  <c r="AL26" i="1" s="1"/>
  <c r="X27" i="1"/>
  <c r="AL27" i="1" s="1"/>
  <c r="X28" i="1"/>
  <c r="AL28" i="1" s="1"/>
  <c r="X29" i="1"/>
  <c r="AL29" i="1" s="1"/>
  <c r="X5" i="1"/>
  <c r="U20" i="10"/>
  <c r="T21" i="10"/>
  <c r="T20" i="10"/>
  <c r="U26" i="9"/>
  <c r="T27" i="9"/>
  <c r="T26" i="9"/>
  <c r="T29" i="32"/>
  <c r="V29" i="32" s="1"/>
  <c r="T30" i="32"/>
  <c r="V30" i="32" s="1"/>
  <c r="X30" i="32" s="1"/>
  <c r="T30" i="31"/>
  <c r="V30" i="31" s="1"/>
  <c r="X30" i="31" s="1"/>
  <c r="T29" i="31"/>
  <c r="V29" i="31" s="1"/>
  <c r="T30" i="30"/>
  <c r="V30" i="30" s="1"/>
  <c r="X30" i="30" s="1"/>
  <c r="T29" i="30"/>
  <c r="V29" i="30" s="1"/>
  <c r="T30" i="29"/>
  <c r="V30" i="29" s="1"/>
  <c r="X30" i="29" s="1"/>
  <c r="T29" i="29"/>
  <c r="V29" i="29" s="1"/>
  <c r="T30" i="28"/>
  <c r="V30" i="28" s="1"/>
  <c r="X30" i="28" s="1"/>
  <c r="T29" i="28"/>
  <c r="V29" i="28" s="1"/>
  <c r="T30" i="27"/>
  <c r="V30" i="27" s="1"/>
  <c r="X30" i="27" s="1"/>
  <c r="T29" i="27"/>
  <c r="V29" i="27" s="1"/>
  <c r="T30" i="26"/>
  <c r="V30" i="26" s="1"/>
  <c r="X30" i="26" s="1"/>
  <c r="T29" i="26"/>
  <c r="V29" i="26" s="1"/>
  <c r="T30" i="25"/>
  <c r="V30" i="25" s="1"/>
  <c r="X30" i="25" s="1"/>
  <c r="T29" i="25"/>
  <c r="V29" i="25" s="1"/>
  <c r="T30" i="24"/>
  <c r="V30" i="24" s="1"/>
  <c r="X30" i="24" s="1"/>
  <c r="T29" i="24"/>
  <c r="V29" i="24" s="1"/>
  <c r="T30" i="23"/>
  <c r="V30" i="23" s="1"/>
  <c r="X30" i="23" s="1"/>
  <c r="T29" i="23"/>
  <c r="V29" i="23" s="1"/>
  <c r="V30" i="22"/>
  <c r="X30" i="22" s="1"/>
  <c r="V29" i="22"/>
  <c r="T30" i="21"/>
  <c r="V30" i="21" s="1"/>
  <c r="X30" i="21" s="1"/>
  <c r="T29" i="21"/>
  <c r="V29" i="21" s="1"/>
  <c r="V30" i="20"/>
  <c r="X30" i="20" s="1"/>
  <c r="V29" i="20"/>
  <c r="T30" i="19"/>
  <c r="V30" i="19" s="1"/>
  <c r="X30" i="19" s="1"/>
  <c r="T29" i="19"/>
  <c r="V29" i="19" s="1"/>
  <c r="T30" i="33"/>
  <c r="V30" i="33" s="1"/>
  <c r="X30" i="33" s="1"/>
  <c r="T29" i="33"/>
  <c r="V29" i="33" s="1"/>
  <c r="T30" i="18"/>
  <c r="V30" i="18" s="1"/>
  <c r="X30" i="18" s="1"/>
  <c r="T29" i="18"/>
  <c r="V29" i="18" s="1"/>
  <c r="T30" i="34"/>
  <c r="V30" i="34" s="1"/>
  <c r="X30" i="34" s="1"/>
  <c r="T29" i="34"/>
  <c r="V29" i="34" s="1"/>
  <c r="T30" i="17"/>
  <c r="V30" i="17" s="1"/>
  <c r="X30" i="17" s="1"/>
  <c r="T29" i="17"/>
  <c r="V29" i="17" s="1"/>
  <c r="T30" i="16"/>
  <c r="V30" i="16" s="1"/>
  <c r="X30" i="16" s="1"/>
  <c r="T29" i="16"/>
  <c r="V29" i="16" s="1"/>
  <c r="V30" i="15"/>
  <c r="X30" i="15" s="1"/>
  <c r="W29" i="15"/>
  <c r="W28" i="15" s="1"/>
  <c r="W13" i="1" s="1"/>
  <c r="V29" i="15"/>
  <c r="T29" i="14"/>
  <c r="T30" i="14"/>
  <c r="V30" i="14" s="1"/>
  <c r="X30" i="14" s="1"/>
  <c r="T30" i="13"/>
  <c r="V30" i="13" s="1"/>
  <c r="X30" i="13" s="1"/>
  <c r="T29" i="13"/>
  <c r="V29" i="13" s="1"/>
  <c r="T30" i="4"/>
  <c r="V30" i="4" s="1"/>
  <c r="X30" i="4" s="1"/>
  <c r="T29" i="4"/>
  <c r="V29" i="4" s="1"/>
  <c r="T30" i="12"/>
  <c r="V30" i="12" s="1"/>
  <c r="X30" i="12" s="1"/>
  <c r="T29" i="12"/>
  <c r="V29" i="12" s="1"/>
  <c r="T30" i="11"/>
  <c r="V30" i="11" s="1"/>
  <c r="X30" i="11" s="1"/>
  <c r="T29" i="11"/>
  <c r="V29" i="11" s="1"/>
  <c r="T30" i="10"/>
  <c r="V30" i="10" s="1"/>
  <c r="X30" i="10" s="1"/>
  <c r="T29" i="10"/>
  <c r="V29" i="10" s="1"/>
  <c r="T30" i="9"/>
  <c r="V30" i="9" s="1"/>
  <c r="X30" i="9" s="1"/>
  <c r="T29" i="9"/>
  <c r="V29" i="9" s="1"/>
  <c r="T30" i="8"/>
  <c r="V30" i="8" s="1"/>
  <c r="X30" i="8" s="1"/>
  <c r="T29" i="8"/>
  <c r="T27" i="10"/>
  <c r="U26" i="10"/>
  <c r="T26" i="10"/>
  <c r="V28" i="18" l="1"/>
  <c r="V17" i="1" s="1"/>
  <c r="V28" i="21"/>
  <c r="V21" i="1" s="1"/>
  <c r="V28" i="25"/>
  <c r="V30" i="1" s="1"/>
  <c r="V28" i="16"/>
  <c r="V14" i="1" s="1"/>
  <c r="V28" i="26"/>
  <c r="V31" i="1" s="1"/>
  <c r="T28" i="32"/>
  <c r="V28" i="28"/>
  <c r="V33" i="1" s="1"/>
  <c r="V28" i="27"/>
  <c r="V32" i="1" s="1"/>
  <c r="T28" i="14"/>
  <c r="V28" i="17"/>
  <c r="V15" i="1" s="1"/>
  <c r="V28" i="33"/>
  <c r="V18" i="1" s="1"/>
  <c r="V28" i="22"/>
  <c r="V22" i="1" s="1"/>
  <c r="V28" i="23"/>
  <c r="V23" i="1" s="1"/>
  <c r="V28" i="29"/>
  <c r="V34" i="1" s="1"/>
  <c r="V28" i="10"/>
  <c r="V7" i="1" s="1"/>
  <c r="V28" i="4"/>
  <c r="V10" i="1" s="1"/>
  <c r="V28" i="19"/>
  <c r="V19" i="1" s="1"/>
  <c r="V28" i="20"/>
  <c r="V20" i="1" s="1"/>
  <c r="V28" i="24"/>
  <c r="V24" i="1" s="1"/>
  <c r="V28" i="32"/>
  <c r="V37" i="1" s="1"/>
  <c r="V28" i="15"/>
  <c r="V13" i="1" s="1"/>
  <c r="X38" i="1"/>
  <c r="V28" i="31"/>
  <c r="V36" i="1" s="1"/>
  <c r="T28" i="31"/>
  <c r="V28" i="30"/>
  <c r="V35" i="1" s="1"/>
  <c r="T28" i="30"/>
  <c r="T28" i="29"/>
  <c r="T28" i="28"/>
  <c r="T28" i="27"/>
  <c r="T28" i="26"/>
  <c r="T28" i="25"/>
  <c r="T28" i="24"/>
  <c r="T28" i="23"/>
  <c r="T28" i="22"/>
  <c r="T28" i="21"/>
  <c r="T28" i="20"/>
  <c r="T28" i="19"/>
  <c r="T28" i="33"/>
  <c r="T28" i="18"/>
  <c r="V28" i="34"/>
  <c r="V16" i="1" s="1"/>
  <c r="T28" i="34"/>
  <c r="T28" i="17"/>
  <c r="T28" i="16"/>
  <c r="T28" i="15"/>
  <c r="V29" i="14"/>
  <c r="U28" i="15"/>
  <c r="V28" i="13"/>
  <c r="V11" i="1" s="1"/>
  <c r="T28" i="13"/>
  <c r="T28" i="4"/>
  <c r="V28" i="12"/>
  <c r="V9" i="1" s="1"/>
  <c r="T28" i="12"/>
  <c r="V28" i="11"/>
  <c r="V8" i="1" s="1"/>
  <c r="T28" i="11"/>
  <c r="T28" i="10"/>
  <c r="V28" i="9"/>
  <c r="V6" i="1" s="1"/>
  <c r="T28" i="9"/>
  <c r="T28" i="8"/>
  <c r="V29" i="8"/>
  <c r="V28" i="8" s="1"/>
  <c r="S29" i="30" l="1"/>
  <c r="S29" i="19"/>
  <c r="S29" i="11"/>
  <c r="S29" i="29"/>
  <c r="S29" i="28"/>
  <c r="S29" i="27"/>
  <c r="S29" i="26"/>
  <c r="S29" i="25"/>
  <c r="S28" i="25" s="1"/>
  <c r="U30" i="1" s="1"/>
  <c r="S29" i="33"/>
  <c r="S28" i="33" s="1"/>
  <c r="U18" i="1" s="1"/>
  <c r="S29" i="18"/>
  <c r="S29" i="10"/>
  <c r="S29" i="34"/>
  <c r="S29" i="9"/>
  <c r="S29" i="24"/>
  <c r="S29" i="32"/>
  <c r="S28" i="32" s="1"/>
  <c r="U37" i="1" s="1"/>
  <c r="S29" i="31"/>
  <c r="S29" i="23"/>
  <c r="S28" i="23" s="1"/>
  <c r="U23" i="1" s="1"/>
  <c r="S29" i="21"/>
  <c r="S29" i="17"/>
  <c r="S28" i="17" s="1"/>
  <c r="U15" i="1" s="1"/>
  <c r="S29" i="16"/>
  <c r="S28" i="16" s="1"/>
  <c r="U14" i="1" s="1"/>
  <c r="S29" i="13"/>
  <c r="S29" i="4"/>
  <c r="S29" i="8"/>
  <c r="S28" i="8" s="1"/>
  <c r="S29" i="14"/>
  <c r="S28" i="14" s="1"/>
  <c r="U12" i="1" s="1"/>
  <c r="S29" i="12"/>
  <c r="U29" i="24"/>
  <c r="U29" i="9"/>
  <c r="U29" i="32"/>
  <c r="U29" i="31"/>
  <c r="U29" i="23"/>
  <c r="U29" i="21"/>
  <c r="U29" i="17"/>
  <c r="U29" i="16"/>
  <c r="U29" i="13"/>
  <c r="U29" i="4"/>
  <c r="U29" i="8"/>
  <c r="U29" i="19"/>
  <c r="U29" i="14"/>
  <c r="U29" i="11"/>
  <c r="U29" i="30"/>
  <c r="U29" i="12"/>
  <c r="U29" i="29"/>
  <c r="U29" i="28"/>
  <c r="U29" i="27"/>
  <c r="U29" i="26"/>
  <c r="U29" i="25"/>
  <c r="U29" i="33"/>
  <c r="U29" i="18"/>
  <c r="U29" i="10"/>
  <c r="U29" i="34"/>
  <c r="V25" i="1"/>
  <c r="V26" i="1"/>
  <c r="V27" i="1"/>
  <c r="V28" i="1"/>
  <c r="V29" i="1"/>
  <c r="V5" i="1"/>
  <c r="V28" i="14"/>
  <c r="V12" i="1" s="1"/>
  <c r="V38" i="1" l="1"/>
  <c r="W29" i="10"/>
  <c r="W28" i="10" s="1"/>
  <c r="W7" i="1" s="1"/>
  <c r="U28" i="10"/>
  <c r="W29" i="26"/>
  <c r="W28" i="26" s="1"/>
  <c r="W31" i="1" s="1"/>
  <c r="U28" i="26"/>
  <c r="W29" i="19"/>
  <c r="W28" i="19" s="1"/>
  <c r="W19" i="1" s="1"/>
  <c r="U28" i="19"/>
  <c r="W29" i="13"/>
  <c r="W28" i="13" s="1"/>
  <c r="W11" i="1" s="1"/>
  <c r="U28" i="13"/>
  <c r="W29" i="9"/>
  <c r="W28" i="9" s="1"/>
  <c r="W6" i="1" s="1"/>
  <c r="U28" i="9"/>
  <c r="S28" i="20"/>
  <c r="U20" i="1" s="1"/>
  <c r="S28" i="9"/>
  <c r="U6" i="1" s="1"/>
  <c r="W29" i="18"/>
  <c r="W28" i="18" s="1"/>
  <c r="W17" i="1" s="1"/>
  <c r="U28" i="18"/>
  <c r="W29" i="27"/>
  <c r="W28" i="27" s="1"/>
  <c r="W32" i="1" s="1"/>
  <c r="U28" i="27"/>
  <c r="W29" i="30"/>
  <c r="W28" i="30" s="1"/>
  <c r="W35" i="1" s="1"/>
  <c r="U28" i="30"/>
  <c r="W29" i="20"/>
  <c r="W28" i="20" s="1"/>
  <c r="W20" i="1" s="1"/>
  <c r="U28" i="20"/>
  <c r="U28" i="16"/>
  <c r="W29" i="16"/>
  <c r="U28" i="23"/>
  <c r="W29" i="23"/>
  <c r="U28" i="24"/>
  <c r="W29" i="24"/>
  <c r="W28" i="24" s="1"/>
  <c r="W24" i="1" s="1"/>
  <c r="U5" i="1"/>
  <c r="U28" i="1"/>
  <c r="AA28" i="1" s="1"/>
  <c r="U27" i="1"/>
  <c r="AA27" i="1" s="1"/>
  <c r="U26" i="1"/>
  <c r="AA26" i="1" s="1"/>
  <c r="U29" i="1"/>
  <c r="AA29" i="1" s="1"/>
  <c r="U25" i="1"/>
  <c r="AA25" i="1" s="1"/>
  <c r="S28" i="31"/>
  <c r="U36" i="1" s="1"/>
  <c r="S28" i="34"/>
  <c r="U16" i="1" s="1"/>
  <c r="S28" i="29"/>
  <c r="U34" i="1" s="1"/>
  <c r="U28" i="33"/>
  <c r="W29" i="33"/>
  <c r="W28" i="33" s="1"/>
  <c r="W18" i="1" s="1"/>
  <c r="U28" i="17"/>
  <c r="W29" i="17"/>
  <c r="S28" i="4"/>
  <c r="U10" i="1" s="1"/>
  <c r="S28" i="26"/>
  <c r="U31" i="1" s="1"/>
  <c r="S28" i="11"/>
  <c r="U8" i="1" s="1"/>
  <c r="W29" i="28"/>
  <c r="W28" i="28" s="1"/>
  <c r="W33" i="1" s="1"/>
  <c r="U28" i="28"/>
  <c r="W29" i="11"/>
  <c r="W28" i="11" s="1"/>
  <c r="W8" i="1" s="1"/>
  <c r="U28" i="11"/>
  <c r="W29" i="8"/>
  <c r="U28" i="8"/>
  <c r="W29" i="31"/>
  <c r="W28" i="31" s="1"/>
  <c r="W36" i="1" s="1"/>
  <c r="U28" i="31"/>
  <c r="S28" i="12"/>
  <c r="U9" i="1" s="1"/>
  <c r="S28" i="21"/>
  <c r="U21" i="1" s="1"/>
  <c r="S28" i="10"/>
  <c r="U7" i="1" s="1"/>
  <c r="W29" i="34"/>
  <c r="W28" i="34" s="1"/>
  <c r="W16" i="1" s="1"/>
  <c r="U28" i="34"/>
  <c r="U28" i="25"/>
  <c r="W29" i="25"/>
  <c r="W29" i="29"/>
  <c r="W28" i="29" s="1"/>
  <c r="W34" i="1" s="1"/>
  <c r="U28" i="29"/>
  <c r="U28" i="14"/>
  <c r="W29" i="14"/>
  <c r="W29" i="4"/>
  <c r="W28" i="4" s="1"/>
  <c r="W10" i="1" s="1"/>
  <c r="U28" i="4"/>
  <c r="W29" i="21"/>
  <c r="W28" i="21" s="1"/>
  <c r="W21" i="1" s="1"/>
  <c r="U28" i="21"/>
  <c r="U28" i="32"/>
  <c r="W29" i="32"/>
  <c r="W28" i="32" s="1"/>
  <c r="W37" i="1" s="1"/>
  <c r="S28" i="13"/>
  <c r="U11" i="1" s="1"/>
  <c r="S28" i="24"/>
  <c r="U24" i="1" s="1"/>
  <c r="S28" i="18"/>
  <c r="U17" i="1" s="1"/>
  <c r="S28" i="27"/>
  <c r="U32" i="1" s="1"/>
  <c r="S28" i="19"/>
  <c r="U19" i="1" s="1"/>
  <c r="W29" i="12"/>
  <c r="W28" i="12" s="1"/>
  <c r="W9" i="1" s="1"/>
  <c r="U28" i="12"/>
  <c r="W29" i="22"/>
  <c r="U28" i="22"/>
  <c r="S28" i="28"/>
  <c r="U33" i="1" s="1"/>
  <c r="S28" i="30"/>
  <c r="U35" i="1" s="1"/>
  <c r="W28" i="22" l="1"/>
  <c r="W22" i="1" s="1"/>
  <c r="X29" i="26"/>
  <c r="X28" i="26" s="1"/>
  <c r="X29" i="30"/>
  <c r="X28" i="30" s="1"/>
  <c r="X29" i="10"/>
  <c r="X28" i="10" s="1"/>
  <c r="X29" i="18"/>
  <c r="X28" i="18" s="1"/>
  <c r="X29" i="28"/>
  <c r="X28" i="28" s="1"/>
  <c r="X29" i="27"/>
  <c r="X28" i="27" s="1"/>
  <c r="X29" i="31"/>
  <c r="X28" i="31" s="1"/>
  <c r="X29" i="11"/>
  <c r="X28" i="11" s="1"/>
  <c r="X29" i="32"/>
  <c r="X28" i="32" s="1"/>
  <c r="X29" i="12"/>
  <c r="X28" i="12" s="1"/>
  <c r="W28" i="17"/>
  <c r="W15" i="1" s="1"/>
  <c r="X29" i="17"/>
  <c r="X28" i="17" s="1"/>
  <c r="X29" i="29"/>
  <c r="X28" i="29" s="1"/>
  <c r="W28" i="16"/>
  <c r="W14" i="1" s="1"/>
  <c r="X29" i="16"/>
  <c r="X28" i="16" s="1"/>
  <c r="X29" i="19"/>
  <c r="X28" i="19" s="1"/>
  <c r="W28" i="8"/>
  <c r="X29" i="8"/>
  <c r="X28" i="8" s="1"/>
  <c r="X29" i="20"/>
  <c r="X28" i="20" s="1"/>
  <c r="X29" i="21"/>
  <c r="X28" i="21" s="1"/>
  <c r="X29" i="4"/>
  <c r="X28" i="4" s="1"/>
  <c r="X29" i="34"/>
  <c r="X28" i="34" s="1"/>
  <c r="W28" i="23"/>
  <c r="W23" i="1" s="1"/>
  <c r="X29" i="23"/>
  <c r="X28" i="23" s="1"/>
  <c r="X29" i="24"/>
  <c r="X28" i="24" s="1"/>
  <c r="X29" i="13"/>
  <c r="X28" i="13" s="1"/>
  <c r="W28" i="14"/>
  <c r="W12" i="1" s="1"/>
  <c r="X29" i="14"/>
  <c r="X28" i="14" s="1"/>
  <c r="W28" i="25"/>
  <c r="W30" i="1" s="1"/>
  <c r="X29" i="25"/>
  <c r="X28" i="25" s="1"/>
  <c r="X29" i="33"/>
  <c r="X28" i="33" s="1"/>
  <c r="X29" i="9"/>
  <c r="X28" i="9" s="1"/>
  <c r="T37" i="1"/>
  <c r="L37" i="1"/>
  <c r="AL37" i="1" l="1"/>
  <c r="W5" i="1"/>
  <c r="W27" i="1"/>
  <c r="AG27" i="1" s="1"/>
  <c r="W26" i="1"/>
  <c r="AG26" i="1" s="1"/>
  <c r="W29" i="1"/>
  <c r="AG29" i="1" s="1"/>
  <c r="W25" i="1"/>
  <c r="AG25" i="1" s="1"/>
  <c r="W28" i="1"/>
  <c r="AG28" i="1" s="1"/>
  <c r="T36" i="1"/>
  <c r="L36" i="1"/>
  <c r="T30" i="1"/>
  <c r="L30" i="1"/>
  <c r="T35" i="1"/>
  <c r="L35" i="1"/>
  <c r="T33" i="1"/>
  <c r="T34" i="1"/>
  <c r="L34" i="1"/>
  <c r="U26" i="29"/>
  <c r="T27" i="29"/>
  <c r="T26" i="29"/>
  <c r="T27" i="28"/>
  <c r="U26" i="28"/>
  <c r="T26" i="28"/>
  <c r="L33" i="1"/>
  <c r="T32" i="1"/>
  <c r="L32" i="1"/>
  <c r="T31" i="1"/>
  <c r="L31" i="1"/>
  <c r="T24" i="1"/>
  <c r="L24" i="1"/>
  <c r="T23" i="1"/>
  <c r="L23" i="1"/>
  <c r="T22" i="1"/>
  <c r="L22" i="1"/>
  <c r="T21" i="1"/>
  <c r="L21" i="1"/>
  <c r="T20" i="1"/>
  <c r="L20" i="1"/>
  <c r="T19" i="1"/>
  <c r="L19" i="1"/>
  <c r="L18" i="1"/>
  <c r="T18" i="1"/>
  <c r="T17" i="1"/>
  <c r="L17" i="1"/>
  <c r="T16" i="1"/>
  <c r="L16" i="1"/>
  <c r="Y26" i="34"/>
  <c r="T15" i="1"/>
  <c r="L15" i="1"/>
  <c r="T14" i="1"/>
  <c r="L14" i="1"/>
  <c r="T13" i="1"/>
  <c r="L13" i="1"/>
  <c r="T12" i="1"/>
  <c r="L12" i="1"/>
  <c r="T11" i="1"/>
  <c r="L11" i="1"/>
  <c r="T9" i="1"/>
  <c r="L9" i="1"/>
  <c r="T10" i="1"/>
  <c r="L10" i="1"/>
  <c r="T8" i="1"/>
  <c r="T7" i="1"/>
  <c r="L8" i="1"/>
  <c r="L7" i="1"/>
  <c r="AL7" i="1" l="1"/>
  <c r="AL13" i="1"/>
  <c r="S16" i="1"/>
  <c r="N27" i="34"/>
  <c r="N26" i="34"/>
  <c r="O26" i="34"/>
  <c r="M26" i="34"/>
  <c r="AL15" i="1"/>
  <c r="AL11" i="1"/>
  <c r="AL10" i="1"/>
  <c r="W38" i="1"/>
  <c r="AL18" i="1"/>
  <c r="AL8" i="1"/>
  <c r="AL9" i="1"/>
  <c r="AL12" i="1"/>
  <c r="AL14" i="1"/>
  <c r="AL34" i="1"/>
  <c r="AL16" i="1"/>
  <c r="AL20" i="1"/>
  <c r="AL22" i="1"/>
  <c r="AL24" i="1"/>
  <c r="AL32" i="1"/>
  <c r="AL30" i="1"/>
  <c r="AL17" i="1"/>
  <c r="AL19" i="1"/>
  <c r="AL21" i="1"/>
  <c r="AL23" i="1"/>
  <c r="AL31" i="1"/>
  <c r="AL33" i="1"/>
  <c r="AL35" i="1"/>
  <c r="AL36" i="1"/>
  <c r="T6" i="1" l="1"/>
  <c r="L6" i="1"/>
  <c r="T5" i="1"/>
  <c r="L5" i="1"/>
  <c r="AL5" i="1" l="1"/>
  <c r="AL6" i="1"/>
  <c r="T38" i="1"/>
  <c r="L38" i="1"/>
  <c r="AL38" i="1" l="1"/>
  <c r="Y19" i="31"/>
  <c r="D19" i="28" l="1"/>
  <c r="B25" i="18"/>
  <c r="C25" i="18"/>
  <c r="D25" i="18"/>
  <c r="Y25" i="18"/>
  <c r="Y19" i="16"/>
  <c r="C26" i="34" l="1"/>
  <c r="B25" i="34"/>
  <c r="C25" i="34"/>
  <c r="D25" i="34"/>
  <c r="D24" i="34"/>
  <c r="C20" i="34"/>
  <c r="B19" i="34"/>
  <c r="C19" i="34"/>
  <c r="D19" i="34"/>
  <c r="D18" i="34"/>
  <c r="Y19" i="34"/>
  <c r="Y25" i="34"/>
  <c r="Y24" i="34"/>
  <c r="Y18" i="34"/>
  <c r="Y18" i="17"/>
  <c r="Y24" i="17"/>
  <c r="V27" i="34" l="1"/>
  <c r="X27" i="34" s="1"/>
  <c r="W26" i="34"/>
  <c r="V26" i="34"/>
  <c r="E26" i="34"/>
  <c r="B26" i="34" s="1"/>
  <c r="M16" i="1" s="1"/>
  <c r="J26" i="34"/>
  <c r="K25" i="34"/>
  <c r="K24" i="34"/>
  <c r="L24" i="34" s="1"/>
  <c r="G24" i="34"/>
  <c r="H24" i="34" s="1"/>
  <c r="Y23" i="34"/>
  <c r="E23" i="34"/>
  <c r="B23" i="34" s="1"/>
  <c r="Y22" i="34"/>
  <c r="AO16" i="1" s="1"/>
  <c r="AP16" i="1" s="1"/>
  <c r="I22" i="34"/>
  <c r="G22" i="34"/>
  <c r="F22" i="34"/>
  <c r="D22" i="34"/>
  <c r="K22" i="34" s="1"/>
  <c r="C22" i="34"/>
  <c r="J22" i="34" s="1"/>
  <c r="B22" i="34"/>
  <c r="V21" i="34"/>
  <c r="X21" i="34" s="1"/>
  <c r="K16" i="1"/>
  <c r="AK16" i="1" s="1"/>
  <c r="W20" i="34"/>
  <c r="V20" i="34"/>
  <c r="B20" i="34"/>
  <c r="E16" i="1" s="1"/>
  <c r="J20" i="34"/>
  <c r="K19" i="34"/>
  <c r="K18" i="34"/>
  <c r="L18" i="34" s="1"/>
  <c r="G18" i="34"/>
  <c r="H18" i="34" s="1"/>
  <c r="B17" i="34"/>
  <c r="AM16" i="1"/>
  <c r="AN16" i="1" s="1"/>
  <c r="I16" i="34"/>
  <c r="G16" i="34"/>
  <c r="F16" i="34"/>
  <c r="D16" i="34"/>
  <c r="K16" i="34" s="1"/>
  <c r="C16" i="34"/>
  <c r="D15" i="34"/>
  <c r="C15" i="34"/>
  <c r="F15" i="34" s="1"/>
  <c r="B15" i="34"/>
  <c r="B14" i="34"/>
  <c r="L14" i="34" s="1"/>
  <c r="B13" i="34"/>
  <c r="B12" i="34"/>
  <c r="L12" i="34" s="1"/>
  <c r="D11" i="34"/>
  <c r="K11" i="34" s="1"/>
  <c r="C11" i="34"/>
  <c r="J11" i="34" s="1"/>
  <c r="D10" i="34"/>
  <c r="K10" i="34" s="1"/>
  <c r="C10" i="34"/>
  <c r="J10" i="34" s="1"/>
  <c r="Z9" i="34"/>
  <c r="Y9" i="34" s="1"/>
  <c r="D9" i="34"/>
  <c r="G9" i="34" s="1"/>
  <c r="I8" i="34"/>
  <c r="G8" i="34"/>
  <c r="D8" i="34"/>
  <c r="K8" i="34" s="1"/>
  <c r="C8" i="34"/>
  <c r="F8" i="34" s="1"/>
  <c r="C7" i="34"/>
  <c r="I6" i="34"/>
  <c r="G6" i="34"/>
  <c r="F6" i="34"/>
  <c r="D6" i="34"/>
  <c r="K6" i="34" s="1"/>
  <c r="C6" i="34"/>
  <c r="J6" i="34" s="1"/>
  <c r="I5" i="34"/>
  <c r="F5" i="34"/>
  <c r="H5" i="34" s="1"/>
  <c r="C5" i="34"/>
  <c r="J5" i="34" s="1"/>
  <c r="L5" i="34" s="1"/>
  <c r="I4" i="34"/>
  <c r="G4" i="34"/>
  <c r="F4" i="34"/>
  <c r="D4" i="34"/>
  <c r="K4" i="34" s="1"/>
  <c r="C4" i="34"/>
  <c r="B4" i="34"/>
  <c r="I3" i="34"/>
  <c r="G3" i="34"/>
  <c r="F3" i="34"/>
  <c r="D3" i="34"/>
  <c r="C3" i="34"/>
  <c r="B3" i="34"/>
  <c r="Y16" i="1" l="1"/>
  <c r="H4" i="34"/>
  <c r="G10" i="34"/>
  <c r="H16" i="34"/>
  <c r="D16" i="1"/>
  <c r="AG16" i="1" s="1"/>
  <c r="J16" i="1"/>
  <c r="R16" i="1"/>
  <c r="AQ16" i="1"/>
  <c r="H14" i="34"/>
  <c r="J15" i="34"/>
  <c r="AU16" i="1"/>
  <c r="H9" i="34"/>
  <c r="B16" i="1"/>
  <c r="AE16" i="1" s="1"/>
  <c r="J8" i="34"/>
  <c r="L8" i="34" s="1"/>
  <c r="H6" i="34"/>
  <c r="F10" i="34"/>
  <c r="F11" i="34"/>
  <c r="H12" i="34"/>
  <c r="H22" i="34"/>
  <c r="L6" i="34"/>
  <c r="G11" i="34"/>
  <c r="H11" i="34" s="1"/>
  <c r="G19" i="34"/>
  <c r="G25" i="34"/>
  <c r="L10" i="34"/>
  <c r="F20" i="34"/>
  <c r="L22" i="34"/>
  <c r="F26" i="34"/>
  <c r="J3" i="34"/>
  <c r="L11" i="34"/>
  <c r="D17" i="34"/>
  <c r="U16" i="34" s="1"/>
  <c r="D23" i="34"/>
  <c r="U22" i="34" s="1"/>
  <c r="H3" i="34"/>
  <c r="L13" i="34"/>
  <c r="H13" i="34"/>
  <c r="J16" i="34"/>
  <c r="L16" i="34" s="1"/>
  <c r="Q20" i="34"/>
  <c r="P21" i="34"/>
  <c r="R21" i="34" s="1"/>
  <c r="P20" i="34"/>
  <c r="L26" i="34"/>
  <c r="Q26" i="34"/>
  <c r="P27" i="34"/>
  <c r="P26" i="34"/>
  <c r="J7" i="34"/>
  <c r="L7" i="34" s="1"/>
  <c r="F7" i="34"/>
  <c r="H7" i="34" s="1"/>
  <c r="H8" i="34"/>
  <c r="G15" i="34"/>
  <c r="H15" i="34" s="1"/>
  <c r="K15" i="34"/>
  <c r="L15" i="34" s="1"/>
  <c r="L20" i="34"/>
  <c r="C23" i="34"/>
  <c r="F25" i="34"/>
  <c r="H25" i="34" s="1"/>
  <c r="J25" i="34"/>
  <c r="L25" i="34" s="1"/>
  <c r="J4" i="34"/>
  <c r="K3" i="34"/>
  <c r="C17" i="34"/>
  <c r="F19" i="34"/>
  <c r="H19" i="34" s="1"/>
  <c r="J19" i="34"/>
  <c r="L19" i="34" s="1"/>
  <c r="K9" i="34"/>
  <c r="L9" i="34" s="1"/>
  <c r="K17" i="34" l="1"/>
  <c r="H10" i="34"/>
  <c r="W22" i="34"/>
  <c r="AD16" i="1"/>
  <c r="I16" i="1"/>
  <c r="H26" i="34"/>
  <c r="P16" i="1"/>
  <c r="C16" i="1"/>
  <c r="AF16" i="1" s="1"/>
  <c r="H20" i="34"/>
  <c r="H16" i="1"/>
  <c r="R27" i="34"/>
  <c r="Q16" i="1"/>
  <c r="K23" i="34"/>
  <c r="O22" i="34"/>
  <c r="Q22" i="34" s="1"/>
  <c r="G23" i="34"/>
  <c r="G17" i="34"/>
  <c r="L4" i="34"/>
  <c r="W16" i="34"/>
  <c r="L3" i="34"/>
  <c r="F17" i="34"/>
  <c r="N16" i="34"/>
  <c r="J17" i="34"/>
  <c r="L17" i="34" s="1"/>
  <c r="T16" i="34"/>
  <c r="F23" i="34"/>
  <c r="N22" i="34"/>
  <c r="P22" i="34" s="1"/>
  <c r="J23" i="34"/>
  <c r="T22" i="34"/>
  <c r="O16" i="34"/>
  <c r="H17" i="34" l="1"/>
  <c r="H23" i="34"/>
  <c r="L23" i="34"/>
  <c r="AC16" i="1"/>
  <c r="V22" i="34"/>
  <c r="AB16" i="1"/>
  <c r="AH16" i="1" s="1"/>
  <c r="Q16" i="34"/>
  <c r="P16" i="34"/>
  <c r="V16" i="34"/>
  <c r="C26" i="32" l="1"/>
  <c r="C20" i="32"/>
  <c r="C26" i="31"/>
  <c r="C26" i="30"/>
  <c r="C26" i="29"/>
  <c r="C26" i="28"/>
  <c r="C26" i="27"/>
  <c r="C26" i="26"/>
  <c r="C26" i="25"/>
  <c r="C26" i="24"/>
  <c r="C26" i="23"/>
  <c r="C26" i="22"/>
  <c r="C26" i="21"/>
  <c r="C26" i="20"/>
  <c r="C26" i="19"/>
  <c r="C26" i="33"/>
  <c r="C26" i="18"/>
  <c r="C26" i="17"/>
  <c r="C26" i="16"/>
  <c r="C26" i="15"/>
  <c r="C26" i="14"/>
  <c r="C26" i="13"/>
  <c r="C26" i="12"/>
  <c r="C26" i="11"/>
  <c r="C26" i="10"/>
  <c r="C26" i="9"/>
  <c r="C26" i="8"/>
  <c r="B25" i="32" l="1"/>
  <c r="C25" i="32"/>
  <c r="D25" i="32"/>
  <c r="B25" i="31"/>
  <c r="C25" i="31"/>
  <c r="D25" i="31"/>
  <c r="B25" i="30"/>
  <c r="C25" i="30"/>
  <c r="D25" i="30"/>
  <c r="B25" i="29"/>
  <c r="C25" i="29"/>
  <c r="D25" i="29"/>
  <c r="B25" i="28"/>
  <c r="C25" i="28"/>
  <c r="D25" i="28"/>
  <c r="B25" i="27"/>
  <c r="C25" i="27"/>
  <c r="D25" i="27"/>
  <c r="B25" i="26"/>
  <c r="C25" i="26"/>
  <c r="D25" i="26"/>
  <c r="B25" i="25"/>
  <c r="C25" i="25"/>
  <c r="D25" i="25"/>
  <c r="B25" i="24"/>
  <c r="C25" i="24"/>
  <c r="D25" i="24"/>
  <c r="B25" i="23"/>
  <c r="C25" i="23"/>
  <c r="D25" i="23"/>
  <c r="B25" i="22"/>
  <c r="C25" i="22"/>
  <c r="D25" i="22"/>
  <c r="B25" i="21"/>
  <c r="C25" i="21"/>
  <c r="D25" i="21"/>
  <c r="B25" i="20"/>
  <c r="C25" i="20"/>
  <c r="D25" i="20"/>
  <c r="B25" i="19"/>
  <c r="C25" i="19"/>
  <c r="D25" i="19"/>
  <c r="B25" i="33"/>
  <c r="C25" i="33"/>
  <c r="D25" i="33"/>
  <c r="B25" i="17"/>
  <c r="C25" i="17"/>
  <c r="D25" i="17"/>
  <c r="B25" i="16"/>
  <c r="C25" i="16"/>
  <c r="D25" i="16"/>
  <c r="B25" i="15"/>
  <c r="C25" i="15"/>
  <c r="D25" i="15"/>
  <c r="B25" i="14"/>
  <c r="C25" i="14" l="1"/>
  <c r="D25" i="14"/>
  <c r="B25" i="13"/>
  <c r="C25" i="13"/>
  <c r="D25" i="13"/>
  <c r="B25" i="12"/>
  <c r="C25" i="12"/>
  <c r="D25" i="12"/>
  <c r="B25" i="11"/>
  <c r="C25" i="11"/>
  <c r="D25" i="11"/>
  <c r="B25" i="10"/>
  <c r="C25" i="10"/>
  <c r="D25" i="10"/>
  <c r="B25" i="9"/>
  <c r="C25" i="9"/>
  <c r="D25" i="9"/>
  <c r="B25" i="8"/>
  <c r="C25" i="8"/>
  <c r="D25" i="8"/>
  <c r="D24" i="31" l="1"/>
  <c r="D24" i="30"/>
  <c r="D24" i="29"/>
  <c r="D24" i="27"/>
  <c r="D24" i="26"/>
  <c r="D24" i="25"/>
  <c r="D24" i="24"/>
  <c r="D24" i="22"/>
  <c r="D24" i="21"/>
  <c r="D24" i="20"/>
  <c r="D24" i="19"/>
  <c r="D24" i="33"/>
  <c r="D24" i="18"/>
  <c r="D24" i="17"/>
  <c r="D24" i="16"/>
  <c r="D24" i="15"/>
  <c r="D24" i="14"/>
  <c r="D24" i="13"/>
  <c r="D24" i="12"/>
  <c r="D24" i="11"/>
  <c r="D24" i="10"/>
  <c r="D24" i="8"/>
  <c r="C20" i="31"/>
  <c r="C20" i="30"/>
  <c r="C20" i="29"/>
  <c r="C20" i="28"/>
  <c r="C20" i="27"/>
  <c r="C20" i="26"/>
  <c r="C20" i="25"/>
  <c r="C20" i="24"/>
  <c r="C20" i="23"/>
  <c r="C20" i="22"/>
  <c r="C20" i="21" l="1"/>
  <c r="C20" i="20"/>
  <c r="C20" i="19"/>
  <c r="C20" i="33"/>
  <c r="C20" i="18"/>
  <c r="C20" i="17"/>
  <c r="C20" i="16"/>
  <c r="C20" i="15"/>
  <c r="C20" i="14"/>
  <c r="C20" i="13"/>
  <c r="C20" i="12"/>
  <c r="C20" i="10"/>
  <c r="C20" i="11"/>
  <c r="C20" i="9"/>
  <c r="C20" i="8"/>
  <c r="D18" i="31"/>
  <c r="D18" i="30"/>
  <c r="D18" i="29"/>
  <c r="D18" i="27"/>
  <c r="D18" i="25"/>
  <c r="D18" i="24"/>
  <c r="D18" i="21"/>
  <c r="D18" i="20"/>
  <c r="D18" i="19"/>
  <c r="D18" i="33"/>
  <c r="D18" i="18"/>
  <c r="D18" i="17"/>
  <c r="D18" i="15"/>
  <c r="D18" i="14"/>
  <c r="D18" i="13"/>
  <c r="D18" i="12"/>
  <c r="D18" i="11"/>
  <c r="D18" i="10"/>
  <c r="D18" i="8"/>
  <c r="B19" i="32"/>
  <c r="C19" i="32"/>
  <c r="D19" i="32"/>
  <c r="B19" i="31"/>
  <c r="C19" i="31"/>
  <c r="D19" i="31"/>
  <c r="B19" i="30"/>
  <c r="C19" i="30"/>
  <c r="D19" i="30"/>
  <c r="B19" i="29"/>
  <c r="C19" i="29"/>
  <c r="D19" i="29"/>
  <c r="B19" i="28"/>
  <c r="C19" i="28"/>
  <c r="B19" i="27"/>
  <c r="C19" i="27"/>
  <c r="D19" i="27"/>
  <c r="B19" i="26"/>
  <c r="C19" i="26"/>
  <c r="D19" i="26"/>
  <c r="B19" i="25"/>
  <c r="C19" i="25"/>
  <c r="D19" i="25"/>
  <c r="B19" i="24"/>
  <c r="C19" i="24"/>
  <c r="D19" i="24"/>
  <c r="B19" i="23"/>
  <c r="C19" i="23"/>
  <c r="D19" i="23"/>
  <c r="B19" i="22"/>
  <c r="C19" i="22"/>
  <c r="D19" i="22"/>
  <c r="B19" i="21"/>
  <c r="C19" i="21"/>
  <c r="D19" i="21"/>
  <c r="B19" i="20"/>
  <c r="C19" i="20"/>
  <c r="D19" i="20"/>
  <c r="B19" i="19"/>
  <c r="C19" i="19"/>
  <c r="D19" i="19"/>
  <c r="B19" i="33"/>
  <c r="C19" i="33"/>
  <c r="D19" i="33"/>
  <c r="B19" i="18"/>
  <c r="C19" i="18"/>
  <c r="D19" i="18"/>
  <c r="B19" i="17"/>
  <c r="C19" i="17"/>
  <c r="D19" i="17"/>
  <c r="B19" i="16"/>
  <c r="C19" i="16"/>
  <c r="D19" i="16"/>
  <c r="B19" i="15"/>
  <c r="C19" i="15"/>
  <c r="D19" i="15"/>
  <c r="B19" i="14"/>
  <c r="C19" i="14"/>
  <c r="D19" i="14"/>
  <c r="B19" i="13"/>
  <c r="C19" i="13"/>
  <c r="D19" i="13"/>
  <c r="B19" i="12"/>
  <c r="C19" i="12"/>
  <c r="D19" i="12"/>
  <c r="B19" i="11"/>
  <c r="C19" i="11"/>
  <c r="D19" i="11"/>
  <c r="B19" i="10"/>
  <c r="C19" i="10"/>
  <c r="D19" i="10"/>
  <c r="B19" i="9"/>
  <c r="C19" i="9"/>
  <c r="D19" i="9"/>
  <c r="D19" i="8"/>
  <c r="C19" i="8"/>
  <c r="B19" i="8"/>
  <c r="D16" i="8"/>
  <c r="D16" i="9"/>
  <c r="D16" i="10"/>
  <c r="D16" i="11"/>
  <c r="D16" i="12"/>
  <c r="D16" i="4"/>
  <c r="D16" i="13"/>
  <c r="D16" i="14"/>
  <c r="D16" i="15"/>
  <c r="D16" i="16"/>
  <c r="D16" i="17"/>
  <c r="D16" i="18"/>
  <c r="D16" i="33"/>
  <c r="D16" i="19"/>
  <c r="C16" i="20"/>
  <c r="C22" i="20"/>
  <c r="D16" i="20"/>
  <c r="D16" i="21"/>
  <c r="D16" i="22"/>
  <c r="D16" i="23"/>
  <c r="D16" i="24"/>
  <c r="D16" i="25"/>
  <c r="D16" i="26"/>
  <c r="D16" i="27"/>
  <c r="D16" i="28"/>
  <c r="D16" i="29"/>
  <c r="D16" i="30"/>
  <c r="D16" i="31"/>
  <c r="D16" i="32"/>
  <c r="C16" i="32"/>
  <c r="C16" i="31"/>
  <c r="C16" i="30"/>
  <c r="C16" i="29"/>
  <c r="C16" i="28"/>
  <c r="C16" i="27"/>
  <c r="C16" i="26"/>
  <c r="C16" i="25"/>
  <c r="C16" i="24"/>
  <c r="C16" i="23"/>
  <c r="C16" i="22"/>
  <c r="C16" i="21"/>
  <c r="C16" i="19"/>
  <c r="C16" i="33"/>
  <c r="C16" i="18"/>
  <c r="C16" i="17"/>
  <c r="C16" i="16"/>
  <c r="C16" i="15"/>
  <c r="C16" i="14"/>
  <c r="C16" i="13"/>
  <c r="C16" i="4"/>
  <c r="C16" i="12"/>
  <c r="C16" i="11"/>
  <c r="C16" i="10"/>
  <c r="C16" i="9"/>
  <c r="C16" i="8"/>
  <c r="Y25" i="32" l="1"/>
  <c r="Y19" i="32"/>
  <c r="Y24" i="32"/>
  <c r="Y18" i="32"/>
  <c r="Y25" i="31"/>
  <c r="Y24" i="31"/>
  <c r="Y18" i="31"/>
  <c r="Y26" i="31"/>
  <c r="S36" i="1" s="1"/>
  <c r="Y20" i="31"/>
  <c r="K36" i="1" s="1"/>
  <c r="Y25" i="30"/>
  <c r="Y19" i="30"/>
  <c r="Y24" i="30"/>
  <c r="Y18" i="30"/>
  <c r="Y26" i="30"/>
  <c r="S35" i="1" s="1"/>
  <c r="Y20" i="30"/>
  <c r="K35" i="1" s="1"/>
  <c r="Y25" i="29"/>
  <c r="Y19" i="29"/>
  <c r="Y18" i="29"/>
  <c r="Y24" i="29"/>
  <c r="Y26" i="29"/>
  <c r="S34" i="1" s="1"/>
  <c r="Y20" i="29"/>
  <c r="K34" i="1" s="1"/>
  <c r="Y25" i="28"/>
  <c r="Y19" i="28"/>
  <c r="Y24" i="28"/>
  <c r="Y18" i="28"/>
  <c r="Y26" i="28"/>
  <c r="S33" i="1" s="1"/>
  <c r="Y20" i="28"/>
  <c r="K33" i="1" s="1"/>
  <c r="Y25" i="27"/>
  <c r="Y19" i="27"/>
  <c r="Y24" i="27"/>
  <c r="Y18" i="27"/>
  <c r="Y26" i="27"/>
  <c r="S32" i="1" s="1"/>
  <c r="Y20" i="27"/>
  <c r="K32" i="1" s="1"/>
  <c r="Y25" i="26"/>
  <c r="Y19" i="26"/>
  <c r="Y24" i="26"/>
  <c r="Y18" i="26"/>
  <c r="Y26" i="26"/>
  <c r="Y20" i="26"/>
  <c r="K31" i="1" s="1"/>
  <c r="Y25" i="25"/>
  <c r="Y19" i="25"/>
  <c r="Y24" i="25"/>
  <c r="Y18" i="25"/>
  <c r="Y26" i="25"/>
  <c r="S30" i="1" s="1"/>
  <c r="Y20" i="25"/>
  <c r="K30" i="1" s="1"/>
  <c r="Y25" i="24"/>
  <c r="Y19" i="24"/>
  <c r="Y24" i="24"/>
  <c r="Y18" i="24"/>
  <c r="Y26" i="24"/>
  <c r="S24" i="1" s="1"/>
  <c r="Y20" i="24"/>
  <c r="K24" i="1" s="1"/>
  <c r="Y25" i="23"/>
  <c r="Y19" i="23"/>
  <c r="Y24" i="23"/>
  <c r="Y18" i="23"/>
  <c r="Y26" i="23"/>
  <c r="S23" i="1" s="1"/>
  <c r="Y20" i="23"/>
  <c r="K23" i="1" s="1"/>
  <c r="Y25" i="22"/>
  <c r="Y19" i="22"/>
  <c r="Y24" i="22"/>
  <c r="Y18" i="22"/>
  <c r="S22" i="1"/>
  <c r="K22" i="1"/>
  <c r="Y25" i="21"/>
  <c r="Y19" i="21"/>
  <c r="Y24" i="21"/>
  <c r="Y18" i="21"/>
  <c r="Y26" i="21"/>
  <c r="S21" i="1" s="1"/>
  <c r="Y20" i="21"/>
  <c r="K21" i="1" s="1"/>
  <c r="Y25" i="20"/>
  <c r="Y19" i="20"/>
  <c r="Y24" i="20"/>
  <c r="Y18" i="20"/>
  <c r="Y26" i="20"/>
  <c r="Y20" i="20"/>
  <c r="K20" i="1" s="1"/>
  <c r="Y25" i="19"/>
  <c r="Y19" i="19"/>
  <c r="Y24" i="19"/>
  <c r="Y18" i="19"/>
  <c r="Y26" i="19"/>
  <c r="S19" i="1" s="1"/>
  <c r="Y20" i="19"/>
  <c r="K19" i="1" s="1"/>
  <c r="Y20" i="33"/>
  <c r="K18" i="1" s="1"/>
  <c r="Y25" i="33"/>
  <c r="Y19" i="33"/>
  <c r="Y24" i="33"/>
  <c r="Y18" i="33"/>
  <c r="Y26" i="33"/>
  <c r="S18" i="1" s="1"/>
  <c r="Y19" i="18"/>
  <c r="Y24" i="18"/>
  <c r="Y18" i="18"/>
  <c r="Y26" i="18"/>
  <c r="S17" i="1" s="1"/>
  <c r="Y20" i="18"/>
  <c r="K17" i="1" s="1"/>
  <c r="AK17" i="1" s="1"/>
  <c r="Y25" i="17"/>
  <c r="Y19" i="17"/>
  <c r="Y26" i="17"/>
  <c r="S15" i="1" s="1"/>
  <c r="Y20" i="17"/>
  <c r="K15" i="1" s="1"/>
  <c r="Y25" i="13"/>
  <c r="Y19" i="13"/>
  <c r="Y24" i="13"/>
  <c r="Y18" i="13"/>
  <c r="S11" i="1"/>
  <c r="K11" i="1"/>
  <c r="E26" i="13"/>
  <c r="B26" i="13" s="1"/>
  <c r="E23" i="13"/>
  <c r="Y23" i="13"/>
  <c r="Y22" i="13"/>
  <c r="E20" i="13"/>
  <c r="B20" i="13" s="1"/>
  <c r="E17" i="13"/>
  <c r="Y17" i="13"/>
  <c r="Y16" i="13"/>
  <c r="B22" i="13"/>
  <c r="B16" i="13"/>
  <c r="Z9" i="13"/>
  <c r="D9" i="13"/>
  <c r="D15" i="13"/>
  <c r="C15" i="13"/>
  <c r="B15" i="13"/>
  <c r="B14" i="13"/>
  <c r="B13" i="13"/>
  <c r="B12" i="13"/>
  <c r="D11" i="13"/>
  <c r="C11" i="13"/>
  <c r="D10" i="13"/>
  <c r="C10" i="13"/>
  <c r="C7" i="13"/>
  <c r="D22" i="13"/>
  <c r="C22" i="13"/>
  <c r="D8" i="13"/>
  <c r="C8" i="13"/>
  <c r="D6" i="13"/>
  <c r="C6" i="13"/>
  <c r="C5" i="13"/>
  <c r="D4" i="13"/>
  <c r="C4" i="13"/>
  <c r="B4" i="13"/>
  <c r="I22" i="13"/>
  <c r="G22" i="13"/>
  <c r="F22" i="13"/>
  <c r="I16" i="13"/>
  <c r="G16" i="13"/>
  <c r="F16" i="13"/>
  <c r="I8" i="13"/>
  <c r="G8" i="13"/>
  <c r="I6" i="13"/>
  <c r="G6" i="13"/>
  <c r="F6" i="13"/>
  <c r="I5" i="13"/>
  <c r="F5" i="13"/>
  <c r="I4" i="13"/>
  <c r="G4" i="13"/>
  <c r="F4" i="13"/>
  <c r="I3" i="13"/>
  <c r="AU11" i="1" s="1"/>
  <c r="G3" i="13"/>
  <c r="F3" i="13"/>
  <c r="D3" i="13"/>
  <c r="C3" i="13"/>
  <c r="B3" i="13"/>
  <c r="Y25" i="16"/>
  <c r="Y24" i="16"/>
  <c r="Y18" i="16"/>
  <c r="Y26" i="16"/>
  <c r="Y20" i="16"/>
  <c r="T27" i="33"/>
  <c r="V27" i="33" s="1"/>
  <c r="X27" i="33" s="1"/>
  <c r="N27" i="33"/>
  <c r="P27" i="33" s="1"/>
  <c r="R27" i="33" s="1"/>
  <c r="U26" i="33"/>
  <c r="W26" i="33" s="1"/>
  <c r="T26" i="33"/>
  <c r="V26" i="33" s="1"/>
  <c r="O26" i="33"/>
  <c r="Q26" i="33" s="1"/>
  <c r="E26" i="33"/>
  <c r="B26" i="33" s="1"/>
  <c r="M18" i="1" s="1"/>
  <c r="F26" i="33"/>
  <c r="P18" i="1" s="1"/>
  <c r="G25" i="33"/>
  <c r="C23" i="33"/>
  <c r="K24" i="33"/>
  <c r="L24" i="33" s="1"/>
  <c r="G24" i="33"/>
  <c r="H24" i="33" s="1"/>
  <c r="Y23" i="33"/>
  <c r="E23" i="33"/>
  <c r="B23" i="33" s="1"/>
  <c r="Y22" i="33"/>
  <c r="I22" i="33"/>
  <c r="G22" i="33"/>
  <c r="F22" i="33"/>
  <c r="D22" i="33"/>
  <c r="K22" i="33" s="1"/>
  <c r="C22" i="33"/>
  <c r="J22" i="33" s="1"/>
  <c r="B22" i="33"/>
  <c r="T21" i="33"/>
  <c r="V21" i="33" s="1"/>
  <c r="X21" i="33" s="1"/>
  <c r="U20" i="33"/>
  <c r="T20" i="33"/>
  <c r="V20" i="33" s="1"/>
  <c r="E20" i="33"/>
  <c r="B20" i="33" s="1"/>
  <c r="E18" i="1" s="1"/>
  <c r="F20" i="33"/>
  <c r="H18" i="1" s="1"/>
  <c r="J19" i="33"/>
  <c r="G19" i="33"/>
  <c r="F19" i="33"/>
  <c r="K18" i="33"/>
  <c r="L18" i="33" s="1"/>
  <c r="G18" i="33"/>
  <c r="H18" i="33" s="1"/>
  <c r="Y17" i="33"/>
  <c r="E17" i="33"/>
  <c r="B17" i="33" s="1"/>
  <c r="D17" i="33"/>
  <c r="Y16" i="33"/>
  <c r="I16" i="33"/>
  <c r="G16" i="33"/>
  <c r="F16" i="33"/>
  <c r="K16" i="33"/>
  <c r="B16" i="33"/>
  <c r="D15" i="33"/>
  <c r="K15" i="33" s="1"/>
  <c r="C15" i="33"/>
  <c r="F15" i="33" s="1"/>
  <c r="B15" i="33"/>
  <c r="B14" i="33"/>
  <c r="L14" i="33" s="1"/>
  <c r="B13" i="33"/>
  <c r="H13" i="33" s="1"/>
  <c r="B12" i="33"/>
  <c r="L12" i="33" s="1"/>
  <c r="D11" i="33"/>
  <c r="K11" i="33" s="1"/>
  <c r="C11" i="33"/>
  <c r="J11" i="33" s="1"/>
  <c r="D10" i="33"/>
  <c r="K10" i="33" s="1"/>
  <c r="C10" i="33"/>
  <c r="J10" i="33" s="1"/>
  <c r="Z9" i="33"/>
  <c r="Y9" i="33" s="1"/>
  <c r="D9" i="33"/>
  <c r="K9" i="33" s="1"/>
  <c r="L9" i="33" s="1"/>
  <c r="I8" i="33"/>
  <c r="G8" i="33"/>
  <c r="D8" i="33"/>
  <c r="K8" i="33" s="1"/>
  <c r="C8" i="33"/>
  <c r="F8" i="33" s="1"/>
  <c r="C7" i="33"/>
  <c r="I6" i="33"/>
  <c r="G6" i="33"/>
  <c r="F6" i="33"/>
  <c r="D6" i="33"/>
  <c r="K6" i="33" s="1"/>
  <c r="C6" i="33"/>
  <c r="J6" i="33" s="1"/>
  <c r="I5" i="33"/>
  <c r="F5" i="33"/>
  <c r="H5" i="33" s="1"/>
  <c r="C5" i="33"/>
  <c r="J5" i="33" s="1"/>
  <c r="L5" i="33" s="1"/>
  <c r="I4" i="33"/>
  <c r="G4" i="33"/>
  <c r="F4" i="33"/>
  <c r="D4" i="33"/>
  <c r="K4" i="33" s="1"/>
  <c r="C4" i="33"/>
  <c r="B4" i="33"/>
  <c r="I3" i="33"/>
  <c r="G3" i="33"/>
  <c r="F3" i="33"/>
  <c r="D3" i="33"/>
  <c r="C3" i="33"/>
  <c r="B3" i="33"/>
  <c r="N21" i="33" l="1"/>
  <c r="P21" i="33" s="1"/>
  <c r="R21" i="33" s="1"/>
  <c r="H22" i="33"/>
  <c r="AQ11" i="1"/>
  <c r="S20" i="1"/>
  <c r="AK20" i="1" s="1"/>
  <c r="N27" i="26"/>
  <c r="O26" i="26"/>
  <c r="N20" i="16"/>
  <c r="N21" i="16"/>
  <c r="F10" i="33"/>
  <c r="N26" i="16"/>
  <c r="N27" i="16"/>
  <c r="W20" i="33"/>
  <c r="D18" i="1" s="1"/>
  <c r="AG18" i="1" s="1"/>
  <c r="Y18" i="1"/>
  <c r="AM11" i="1"/>
  <c r="AN11" i="1" s="1"/>
  <c r="AO11" i="1"/>
  <c r="AP11" i="1" s="1"/>
  <c r="S31" i="1"/>
  <c r="AK31" i="1" s="1"/>
  <c r="N26" i="26"/>
  <c r="AM18" i="1"/>
  <c r="AN18" i="1" s="1"/>
  <c r="AO18" i="1"/>
  <c r="AP18" i="1" s="1"/>
  <c r="K14" i="1"/>
  <c r="M20" i="16"/>
  <c r="O20" i="16"/>
  <c r="S14" i="1"/>
  <c r="M26" i="16"/>
  <c r="O26" i="16"/>
  <c r="AK34" i="1"/>
  <c r="AK11" i="1"/>
  <c r="AK36" i="1"/>
  <c r="AK32" i="1"/>
  <c r="AK24" i="1"/>
  <c r="U16" i="33"/>
  <c r="AK15" i="1"/>
  <c r="R18" i="1"/>
  <c r="J18" i="1"/>
  <c r="AB18" i="1"/>
  <c r="AU18" i="1"/>
  <c r="AK21" i="1"/>
  <c r="AQ18" i="1"/>
  <c r="AK18" i="1"/>
  <c r="AK22" i="1"/>
  <c r="K3" i="33"/>
  <c r="H16" i="33"/>
  <c r="H6" i="33"/>
  <c r="J8" i="33"/>
  <c r="L8" i="33" s="1"/>
  <c r="J3" i="33"/>
  <c r="L6" i="33"/>
  <c r="H4" i="33"/>
  <c r="G10" i="33"/>
  <c r="F11" i="33"/>
  <c r="H12" i="33"/>
  <c r="H14" i="33"/>
  <c r="J15" i="33"/>
  <c r="C17" i="33"/>
  <c r="O20" i="33"/>
  <c r="Q20" i="33" s="1"/>
  <c r="C18" i="1" s="1"/>
  <c r="AF18" i="1" s="1"/>
  <c r="F25" i="33"/>
  <c r="H25" i="33" s="1"/>
  <c r="G11" i="33"/>
  <c r="D23" i="33"/>
  <c r="U22" i="33" s="1"/>
  <c r="K25" i="33"/>
  <c r="L10" i="33"/>
  <c r="L11" i="33"/>
  <c r="L22" i="33"/>
  <c r="T22" i="33"/>
  <c r="V22" i="33" s="1"/>
  <c r="F23" i="33"/>
  <c r="J23" i="33"/>
  <c r="H3" i="33"/>
  <c r="J4" i="33"/>
  <c r="F7" i="33"/>
  <c r="H7" i="33" s="1"/>
  <c r="J7" i="33"/>
  <c r="L7" i="33" s="1"/>
  <c r="H8" i="33"/>
  <c r="L13" i="33"/>
  <c r="G15" i="33"/>
  <c r="H15" i="33" s="1"/>
  <c r="L15" i="33"/>
  <c r="J16" i="33"/>
  <c r="L16" i="33" s="1"/>
  <c r="K17" i="33"/>
  <c r="G9" i="33"/>
  <c r="G17" i="33"/>
  <c r="H19" i="33"/>
  <c r="H20" i="33"/>
  <c r="N20" i="33"/>
  <c r="J25" i="33"/>
  <c r="H26" i="33"/>
  <c r="N26" i="33"/>
  <c r="P26" i="33" s="1"/>
  <c r="J20" i="33"/>
  <c r="L20" i="33" s="1"/>
  <c r="J26" i="33"/>
  <c r="L26" i="33" s="1"/>
  <c r="K19" i="33"/>
  <c r="L19" i="33" s="1"/>
  <c r="Y25" i="15"/>
  <c r="Y19" i="15"/>
  <c r="Y24" i="15"/>
  <c r="Y18" i="15"/>
  <c r="Y26" i="15"/>
  <c r="S13" i="1" s="1"/>
  <c r="Y20" i="15"/>
  <c r="K13" i="1" s="1"/>
  <c r="Y25" i="14"/>
  <c r="Y19" i="14"/>
  <c r="Y24" i="14"/>
  <c r="Y18" i="14"/>
  <c r="Y26" i="14"/>
  <c r="S12" i="1" s="1"/>
  <c r="Y20" i="14"/>
  <c r="K12" i="1" s="1"/>
  <c r="Y19" i="4"/>
  <c r="Y18" i="4"/>
  <c r="Y26" i="4"/>
  <c r="Y20" i="4"/>
  <c r="Y25" i="12"/>
  <c r="Y19" i="12"/>
  <c r="Y24" i="12"/>
  <c r="Y18" i="12"/>
  <c r="Y26" i="12"/>
  <c r="S9" i="1" s="1"/>
  <c r="Y20" i="12"/>
  <c r="K9" i="1" s="1"/>
  <c r="Y25" i="11"/>
  <c r="Y19" i="11"/>
  <c r="Y24" i="11"/>
  <c r="Y18" i="11"/>
  <c r="Y26" i="11"/>
  <c r="S8" i="1" s="1"/>
  <c r="Y20" i="11"/>
  <c r="K8" i="1" s="1"/>
  <c r="Y25" i="9"/>
  <c r="Y19" i="9"/>
  <c r="Y24" i="9"/>
  <c r="Y18" i="9"/>
  <c r="Y25" i="8"/>
  <c r="Y19" i="8"/>
  <c r="Y24" i="8"/>
  <c r="Y18" i="8"/>
  <c r="Y19" i="10"/>
  <c r="Y25" i="10"/>
  <c r="Y18" i="10"/>
  <c r="Y24" i="10"/>
  <c r="Y26" i="10"/>
  <c r="Y20" i="10"/>
  <c r="Y26" i="9"/>
  <c r="Y20" i="9"/>
  <c r="K6" i="1" s="1"/>
  <c r="Y26" i="8"/>
  <c r="Y20" i="8"/>
  <c r="K5" i="1" s="1"/>
  <c r="Y20" i="32"/>
  <c r="Y26" i="32"/>
  <c r="Y22" i="32"/>
  <c r="L25" i="33" l="1"/>
  <c r="H10" i="33"/>
  <c r="L3" i="33"/>
  <c r="N27" i="32"/>
  <c r="P27" i="32" s="1"/>
  <c r="R27" i="32" s="1"/>
  <c r="M26" i="32"/>
  <c r="N26" i="32"/>
  <c r="O26" i="32"/>
  <c r="S5" i="1"/>
  <c r="N26" i="8"/>
  <c r="O26" i="8"/>
  <c r="N27" i="8"/>
  <c r="K37" i="1"/>
  <c r="N21" i="32"/>
  <c r="N20" i="32"/>
  <c r="M20" i="32"/>
  <c r="O20" i="32"/>
  <c r="Q20" i="32" s="1"/>
  <c r="AK14" i="1"/>
  <c r="S10" i="1"/>
  <c r="O26" i="4"/>
  <c r="Q26" i="4" s="1"/>
  <c r="N27" i="4"/>
  <c r="N26" i="4"/>
  <c r="M26" i="4"/>
  <c r="K10" i="1"/>
  <c r="N20" i="4"/>
  <c r="M20" i="4"/>
  <c r="O20" i="4"/>
  <c r="N21" i="4"/>
  <c r="S6" i="1"/>
  <c r="AK6" i="1" s="1"/>
  <c r="N27" i="9"/>
  <c r="O26" i="9"/>
  <c r="N26" i="9"/>
  <c r="P26" i="9" s="1"/>
  <c r="N21" i="10"/>
  <c r="N20" i="10"/>
  <c r="O20" i="10"/>
  <c r="Q20" i="10" s="1"/>
  <c r="O16" i="33"/>
  <c r="Q16" i="33" s="1"/>
  <c r="AD18" i="1"/>
  <c r="W16" i="33"/>
  <c r="S37" i="1"/>
  <c r="K7" i="1"/>
  <c r="S7" i="1"/>
  <c r="O26" i="10"/>
  <c r="Q26" i="10" s="1"/>
  <c r="N27" i="10"/>
  <c r="P27" i="10" s="1"/>
  <c r="R27" i="10" s="1"/>
  <c r="N26" i="10"/>
  <c r="AK5" i="1"/>
  <c r="H9" i="33"/>
  <c r="B18" i="1"/>
  <c r="AE18" i="1" s="1"/>
  <c r="AH18" i="1" s="1"/>
  <c r="AK13" i="1"/>
  <c r="Q18" i="1"/>
  <c r="W22" i="33"/>
  <c r="O22" i="33"/>
  <c r="Q22" i="33" s="1"/>
  <c r="H11" i="33"/>
  <c r="J17" i="33"/>
  <c r="L17" i="33" s="1"/>
  <c r="F17" i="33"/>
  <c r="H17" i="33" s="1"/>
  <c r="T16" i="33"/>
  <c r="G23" i="33"/>
  <c r="H23" i="33" s="1"/>
  <c r="K23" i="33"/>
  <c r="L23" i="33" s="1"/>
  <c r="L4" i="33"/>
  <c r="P20" i="33"/>
  <c r="N16" i="33"/>
  <c r="N22" i="33"/>
  <c r="P22" i="33" s="1"/>
  <c r="V27" i="32"/>
  <c r="X27" i="32" s="1"/>
  <c r="V26" i="32"/>
  <c r="W26" i="32"/>
  <c r="E26" i="32"/>
  <c r="B26" i="32" s="1"/>
  <c r="M37" i="1" s="1"/>
  <c r="J26" i="32"/>
  <c r="G25" i="32"/>
  <c r="J25" i="32"/>
  <c r="D24" i="32"/>
  <c r="K24" i="32" s="1"/>
  <c r="L24" i="32" s="1"/>
  <c r="Y23" i="32"/>
  <c r="E23" i="32"/>
  <c r="B23" i="32" s="1"/>
  <c r="I22" i="32"/>
  <c r="G22" i="32"/>
  <c r="F22" i="32"/>
  <c r="D22" i="32"/>
  <c r="K22" i="32" s="1"/>
  <c r="C22" i="32"/>
  <c r="J22" i="32" s="1"/>
  <c r="B22" i="32"/>
  <c r="V21" i="32"/>
  <c r="X21" i="32" s="1"/>
  <c r="P21" i="32"/>
  <c r="R21" i="32" s="1"/>
  <c r="W20" i="32"/>
  <c r="V20" i="32"/>
  <c r="E20" i="32"/>
  <c r="B20" i="32" s="1"/>
  <c r="E37" i="1" s="1"/>
  <c r="J20" i="32"/>
  <c r="G19" i="32"/>
  <c r="F19" i="32"/>
  <c r="D18" i="32"/>
  <c r="K18" i="32" s="1"/>
  <c r="L18" i="32" s="1"/>
  <c r="Y17" i="32"/>
  <c r="E17" i="32"/>
  <c r="B17" i="32" s="1"/>
  <c r="Y16" i="32"/>
  <c r="I16" i="32"/>
  <c r="G16" i="32"/>
  <c r="F16" i="32"/>
  <c r="K16" i="32"/>
  <c r="B16" i="32"/>
  <c r="D15" i="32"/>
  <c r="G15" i="32" s="1"/>
  <c r="C15" i="32"/>
  <c r="F15" i="32" s="1"/>
  <c r="B15" i="32"/>
  <c r="B14" i="32"/>
  <c r="L14" i="32" s="1"/>
  <c r="B13" i="32"/>
  <c r="L13" i="32" s="1"/>
  <c r="B12" i="32"/>
  <c r="L12" i="32" s="1"/>
  <c r="D11" i="32"/>
  <c r="K11" i="32" s="1"/>
  <c r="C11" i="32"/>
  <c r="J11" i="32" s="1"/>
  <c r="D10" i="32"/>
  <c r="K10" i="32" s="1"/>
  <c r="C10" i="32"/>
  <c r="J10" i="32" s="1"/>
  <c r="Z9" i="32"/>
  <c r="Y9" i="32" s="1"/>
  <c r="D9" i="32"/>
  <c r="I8" i="32"/>
  <c r="G8" i="32"/>
  <c r="D8" i="32"/>
  <c r="K8" i="32" s="1"/>
  <c r="C8" i="32"/>
  <c r="F8" i="32" s="1"/>
  <c r="C7" i="32"/>
  <c r="J7" i="32" s="1"/>
  <c r="L7" i="32" s="1"/>
  <c r="I6" i="32"/>
  <c r="G6" i="32"/>
  <c r="F6" i="32"/>
  <c r="D6" i="32"/>
  <c r="K6" i="32" s="1"/>
  <c r="C6" i="32"/>
  <c r="J6" i="32" s="1"/>
  <c r="I5" i="32"/>
  <c r="F5" i="32"/>
  <c r="H5" i="32" s="1"/>
  <c r="C5" i="32"/>
  <c r="J5" i="32" s="1"/>
  <c r="L5" i="32" s="1"/>
  <c r="I4" i="32"/>
  <c r="G4" i="32"/>
  <c r="F4" i="32"/>
  <c r="D4" i="32"/>
  <c r="C4" i="32"/>
  <c r="B4" i="32"/>
  <c r="I3" i="32"/>
  <c r="G3" i="32"/>
  <c r="F3" i="32"/>
  <c r="D3" i="32"/>
  <c r="C3" i="32"/>
  <c r="B3" i="32"/>
  <c r="T27" i="31"/>
  <c r="V27" i="31" s="1"/>
  <c r="X27" i="31" s="1"/>
  <c r="N27" i="31"/>
  <c r="P27" i="31" s="1"/>
  <c r="R27" i="31" s="1"/>
  <c r="U26" i="31"/>
  <c r="W26" i="31" s="1"/>
  <c r="T26" i="31"/>
  <c r="V26" i="31" s="1"/>
  <c r="O26" i="31"/>
  <c r="Q26" i="31" s="1"/>
  <c r="N26" i="31"/>
  <c r="P26" i="31" s="1"/>
  <c r="E26" i="31"/>
  <c r="B26" i="31" s="1"/>
  <c r="M36" i="1" s="1"/>
  <c r="F26" i="31"/>
  <c r="P36" i="1" s="1"/>
  <c r="G25" i="31"/>
  <c r="F25" i="31"/>
  <c r="K25" i="31"/>
  <c r="J25" i="31"/>
  <c r="K24" i="31"/>
  <c r="L24" i="31" s="1"/>
  <c r="Y23" i="31"/>
  <c r="E23" i="31"/>
  <c r="B23" i="31" s="1"/>
  <c r="C23" i="31"/>
  <c r="Y22" i="31"/>
  <c r="I22" i="31"/>
  <c r="G22" i="31"/>
  <c r="F22" i="31"/>
  <c r="D22" i="31"/>
  <c r="K22" i="31" s="1"/>
  <c r="C22" i="31"/>
  <c r="J22" i="31" s="1"/>
  <c r="B22" i="31"/>
  <c r="T21" i="31"/>
  <c r="V21" i="31" s="1"/>
  <c r="X21" i="31" s="1"/>
  <c r="N21" i="31"/>
  <c r="P21" i="31" s="1"/>
  <c r="R21" i="31" s="1"/>
  <c r="U20" i="31"/>
  <c r="W20" i="31" s="1"/>
  <c r="T20" i="31"/>
  <c r="V20" i="31" s="1"/>
  <c r="O20" i="31"/>
  <c r="Q20" i="31" s="1"/>
  <c r="N20" i="31"/>
  <c r="P20" i="31" s="1"/>
  <c r="E20" i="31"/>
  <c r="B20" i="31" s="1"/>
  <c r="E36" i="1" s="1"/>
  <c r="F20" i="31"/>
  <c r="H36" i="1" s="1"/>
  <c r="F19" i="31"/>
  <c r="G19" i="31"/>
  <c r="J19" i="31"/>
  <c r="G18" i="31"/>
  <c r="H18" i="31" s="1"/>
  <c r="Y17" i="31"/>
  <c r="E17" i="31"/>
  <c r="B17" i="31" s="1"/>
  <c r="C17" i="31"/>
  <c r="F17" i="31" s="1"/>
  <c r="Y16" i="31"/>
  <c r="I16" i="31"/>
  <c r="G16" i="31"/>
  <c r="F16" i="31"/>
  <c r="J16" i="31"/>
  <c r="B16" i="31"/>
  <c r="D15" i="31"/>
  <c r="G15" i="31" s="1"/>
  <c r="C15" i="31"/>
  <c r="J15" i="31" s="1"/>
  <c r="B15" i="31"/>
  <c r="B14" i="31"/>
  <c r="H14" i="31" s="1"/>
  <c r="B13" i="31"/>
  <c r="L13" i="31" s="1"/>
  <c r="B12" i="31"/>
  <c r="H12" i="31" s="1"/>
  <c r="D11" i="31"/>
  <c r="K11" i="31" s="1"/>
  <c r="C11" i="31"/>
  <c r="J11" i="31" s="1"/>
  <c r="D10" i="31"/>
  <c r="K10" i="31" s="1"/>
  <c r="C10" i="31"/>
  <c r="J10" i="31" s="1"/>
  <c r="Z9" i="31"/>
  <c r="Y9" i="31" s="1"/>
  <c r="D9" i="31"/>
  <c r="G9" i="31" s="1"/>
  <c r="I8" i="31"/>
  <c r="G8" i="31"/>
  <c r="D8" i="31"/>
  <c r="K8" i="31" s="1"/>
  <c r="C8" i="31"/>
  <c r="J8" i="31" s="1"/>
  <c r="C7" i="31"/>
  <c r="F7" i="31" s="1"/>
  <c r="H7" i="31" s="1"/>
  <c r="I6" i="31"/>
  <c r="G6" i="31"/>
  <c r="F6" i="31"/>
  <c r="D6" i="31"/>
  <c r="K6" i="31" s="1"/>
  <c r="C6" i="31"/>
  <c r="J6" i="31" s="1"/>
  <c r="I5" i="31"/>
  <c r="F5" i="31"/>
  <c r="H5" i="31" s="1"/>
  <c r="C5" i="31"/>
  <c r="J5" i="31" s="1"/>
  <c r="L5" i="31" s="1"/>
  <c r="I4" i="31"/>
  <c r="G4" i="31"/>
  <c r="F4" i="31"/>
  <c r="D4" i="31"/>
  <c r="K4" i="31" s="1"/>
  <c r="C4" i="31"/>
  <c r="B4" i="31"/>
  <c r="I3" i="31"/>
  <c r="G3" i="31"/>
  <c r="F3" i="31"/>
  <c r="D3" i="31"/>
  <c r="C3" i="31"/>
  <c r="B3" i="31"/>
  <c r="T27" i="30"/>
  <c r="V27" i="30" s="1"/>
  <c r="X27" i="30" s="1"/>
  <c r="N27" i="30"/>
  <c r="P27" i="30" s="1"/>
  <c r="R27" i="30" s="1"/>
  <c r="U26" i="30"/>
  <c r="W26" i="30" s="1"/>
  <c r="T26" i="30"/>
  <c r="V26" i="30" s="1"/>
  <c r="O26" i="30"/>
  <c r="Q26" i="30" s="1"/>
  <c r="E26" i="30"/>
  <c r="B26" i="30" s="1"/>
  <c r="M35" i="1" s="1"/>
  <c r="F26" i="30"/>
  <c r="P35" i="1" s="1"/>
  <c r="G25" i="30"/>
  <c r="K25" i="30"/>
  <c r="C23" i="30"/>
  <c r="K24" i="30"/>
  <c r="L24" i="30" s="1"/>
  <c r="Y23" i="30"/>
  <c r="E23" i="30"/>
  <c r="B23" i="30" s="1"/>
  <c r="Y22" i="30"/>
  <c r="I22" i="30"/>
  <c r="G22" i="30"/>
  <c r="F22" i="30"/>
  <c r="D22" i="30"/>
  <c r="K22" i="30" s="1"/>
  <c r="C22" i="30"/>
  <c r="J22" i="30" s="1"/>
  <c r="B22" i="30"/>
  <c r="T21" i="30"/>
  <c r="V21" i="30" s="1"/>
  <c r="X21" i="30" s="1"/>
  <c r="N21" i="30"/>
  <c r="P21" i="30" s="1"/>
  <c r="R21" i="30" s="1"/>
  <c r="U20" i="30"/>
  <c r="W20" i="30" s="1"/>
  <c r="T20" i="30"/>
  <c r="V20" i="30" s="1"/>
  <c r="E20" i="30"/>
  <c r="B20" i="30" s="1"/>
  <c r="E35" i="1" s="1"/>
  <c r="F20" i="30"/>
  <c r="H35" i="1" s="1"/>
  <c r="G19" i="30"/>
  <c r="J19" i="30"/>
  <c r="D17" i="30"/>
  <c r="K17" i="30" s="1"/>
  <c r="Y17" i="30"/>
  <c r="E17" i="30"/>
  <c r="B17" i="30" s="1"/>
  <c r="Y16" i="30"/>
  <c r="AO35" i="1" s="1"/>
  <c r="AP35" i="1" s="1"/>
  <c r="I16" i="30"/>
  <c r="G16" i="30"/>
  <c r="F16" i="30"/>
  <c r="K16" i="30"/>
  <c r="J16" i="30"/>
  <c r="B16" i="30"/>
  <c r="D15" i="30"/>
  <c r="G15" i="30" s="1"/>
  <c r="C15" i="30"/>
  <c r="J15" i="30" s="1"/>
  <c r="B15" i="30"/>
  <c r="B14" i="30"/>
  <c r="L14" i="30" s="1"/>
  <c r="B13" i="30"/>
  <c r="L13" i="30" s="1"/>
  <c r="B12" i="30"/>
  <c r="L12" i="30" s="1"/>
  <c r="D11" i="30"/>
  <c r="K11" i="30" s="1"/>
  <c r="C11" i="30"/>
  <c r="F11" i="30" s="1"/>
  <c r="D10" i="30"/>
  <c r="K10" i="30" s="1"/>
  <c r="C10" i="30"/>
  <c r="F10" i="30" s="1"/>
  <c r="Z9" i="30"/>
  <c r="Y9" i="30" s="1"/>
  <c r="D9" i="30"/>
  <c r="K9" i="30" s="1"/>
  <c r="L9" i="30" s="1"/>
  <c r="I8" i="30"/>
  <c r="G8" i="30"/>
  <c r="D8" i="30"/>
  <c r="K8" i="30" s="1"/>
  <c r="C8" i="30"/>
  <c r="J8" i="30" s="1"/>
  <c r="C7" i="30"/>
  <c r="F7" i="30" s="1"/>
  <c r="H7" i="30" s="1"/>
  <c r="I6" i="30"/>
  <c r="G6" i="30"/>
  <c r="F6" i="30"/>
  <c r="D6" i="30"/>
  <c r="K6" i="30" s="1"/>
  <c r="C6" i="30"/>
  <c r="J6" i="30" s="1"/>
  <c r="I5" i="30"/>
  <c r="F5" i="30"/>
  <c r="H5" i="30" s="1"/>
  <c r="C5" i="30"/>
  <c r="J5" i="30" s="1"/>
  <c r="L5" i="30" s="1"/>
  <c r="I4" i="30"/>
  <c r="AQ35" i="1" s="1"/>
  <c r="G4" i="30"/>
  <c r="F4" i="30"/>
  <c r="D4" i="30"/>
  <c r="K4" i="30" s="1"/>
  <c r="C4" i="30"/>
  <c r="B4" i="30"/>
  <c r="I3" i="30"/>
  <c r="AU35" i="1" s="1"/>
  <c r="G3" i="30"/>
  <c r="F3" i="30"/>
  <c r="D3" i="30"/>
  <c r="C3" i="30"/>
  <c r="B3" i="30"/>
  <c r="V27" i="29"/>
  <c r="X27" i="29" s="1"/>
  <c r="N27" i="29"/>
  <c r="P27" i="29" s="1"/>
  <c r="R27" i="29" s="1"/>
  <c r="W26" i="29"/>
  <c r="V26" i="29"/>
  <c r="O26" i="29"/>
  <c r="Q26" i="29" s="1"/>
  <c r="E26" i="29"/>
  <c r="B26" i="29" s="1"/>
  <c r="M34" i="1" s="1"/>
  <c r="J26" i="29"/>
  <c r="K25" i="29"/>
  <c r="J25" i="29"/>
  <c r="G24" i="29"/>
  <c r="H24" i="29" s="1"/>
  <c r="Y23" i="29"/>
  <c r="E23" i="29"/>
  <c r="B23" i="29" s="1"/>
  <c r="Y22" i="29"/>
  <c r="I22" i="29"/>
  <c r="G22" i="29"/>
  <c r="F22" i="29"/>
  <c r="D22" i="29"/>
  <c r="K22" i="29" s="1"/>
  <c r="C22" i="29"/>
  <c r="J22" i="29" s="1"/>
  <c r="B22" i="29"/>
  <c r="T21" i="29"/>
  <c r="V21" i="29" s="1"/>
  <c r="X21" i="29" s="1"/>
  <c r="N21" i="29"/>
  <c r="P21" i="29" s="1"/>
  <c r="R21" i="29" s="1"/>
  <c r="O20" i="29"/>
  <c r="Q20" i="29" s="1"/>
  <c r="U20" i="29"/>
  <c r="W20" i="29" s="1"/>
  <c r="T20" i="29"/>
  <c r="V20" i="29" s="1"/>
  <c r="N20" i="29"/>
  <c r="P20" i="29" s="1"/>
  <c r="E20" i="29"/>
  <c r="B20" i="29" s="1"/>
  <c r="E34" i="1" s="1"/>
  <c r="J20" i="29"/>
  <c r="K19" i="29"/>
  <c r="F19" i="29"/>
  <c r="G19" i="29"/>
  <c r="J19" i="29"/>
  <c r="K18" i="29"/>
  <c r="L18" i="29" s="1"/>
  <c r="Y17" i="29"/>
  <c r="E17" i="29"/>
  <c r="B17" i="29" s="1"/>
  <c r="C17" i="29"/>
  <c r="Y16" i="29"/>
  <c r="I16" i="29"/>
  <c r="G16" i="29"/>
  <c r="F16" i="29"/>
  <c r="J16" i="29"/>
  <c r="B16" i="29"/>
  <c r="D15" i="29"/>
  <c r="G15" i="29" s="1"/>
  <c r="C15" i="29"/>
  <c r="J15" i="29" s="1"/>
  <c r="B15" i="29"/>
  <c r="B14" i="29"/>
  <c r="H14" i="29" s="1"/>
  <c r="B13" i="29"/>
  <c r="L13" i="29" s="1"/>
  <c r="B12" i="29"/>
  <c r="L12" i="29" s="1"/>
  <c r="D11" i="29"/>
  <c r="K11" i="29" s="1"/>
  <c r="C11" i="29"/>
  <c r="F11" i="29" s="1"/>
  <c r="G10" i="29"/>
  <c r="D10" i="29"/>
  <c r="K10" i="29" s="1"/>
  <c r="C10" i="29"/>
  <c r="F10" i="29" s="1"/>
  <c r="Z9" i="29"/>
  <c r="Y9" i="29" s="1"/>
  <c r="D9" i="29"/>
  <c r="K9" i="29" s="1"/>
  <c r="L9" i="29" s="1"/>
  <c r="I8" i="29"/>
  <c r="G8" i="29"/>
  <c r="D8" i="29"/>
  <c r="K8" i="29" s="1"/>
  <c r="C8" i="29"/>
  <c r="J8" i="29" s="1"/>
  <c r="C7" i="29"/>
  <c r="J7" i="29" s="1"/>
  <c r="L7" i="29" s="1"/>
  <c r="I6" i="29"/>
  <c r="G6" i="29"/>
  <c r="F6" i="29"/>
  <c r="D6" i="29"/>
  <c r="K6" i="29" s="1"/>
  <c r="C6" i="29"/>
  <c r="J6" i="29" s="1"/>
  <c r="I5" i="29"/>
  <c r="F5" i="29"/>
  <c r="H5" i="29" s="1"/>
  <c r="C5" i="29"/>
  <c r="J5" i="29" s="1"/>
  <c r="L5" i="29" s="1"/>
  <c r="I4" i="29"/>
  <c r="G4" i="29"/>
  <c r="F4" i="29"/>
  <c r="D4" i="29"/>
  <c r="K4" i="29" s="1"/>
  <c r="C4" i="29"/>
  <c r="J4" i="29" s="1"/>
  <c r="B4" i="29"/>
  <c r="I3" i="29"/>
  <c r="G3" i="29"/>
  <c r="F3" i="29"/>
  <c r="D3" i="29"/>
  <c r="C3" i="29"/>
  <c r="B3" i="29"/>
  <c r="V27" i="28"/>
  <c r="X27" i="28" s="1"/>
  <c r="N27" i="28"/>
  <c r="P27" i="28" s="1"/>
  <c r="R27" i="28" s="1"/>
  <c r="W26" i="28"/>
  <c r="V26" i="28"/>
  <c r="O26" i="28"/>
  <c r="Q26" i="28" s="1"/>
  <c r="N26" i="28"/>
  <c r="P26" i="28" s="1"/>
  <c r="E26" i="28"/>
  <c r="B26" i="28" s="1"/>
  <c r="M33" i="1" s="1"/>
  <c r="F26" i="28"/>
  <c r="P33" i="1" s="1"/>
  <c r="G25" i="28"/>
  <c r="C23" i="28"/>
  <c r="D24" i="28"/>
  <c r="K24" i="28" s="1"/>
  <c r="L24" i="28" s="1"/>
  <c r="Y23" i="28"/>
  <c r="E23" i="28"/>
  <c r="B23" i="28" s="1"/>
  <c r="Y22" i="28"/>
  <c r="I22" i="28"/>
  <c r="G22" i="28"/>
  <c r="F22" i="28"/>
  <c r="D22" i="28"/>
  <c r="K22" i="28" s="1"/>
  <c r="C22" i="28"/>
  <c r="J22" i="28" s="1"/>
  <c r="B22" i="28"/>
  <c r="T21" i="28"/>
  <c r="V21" i="28" s="1"/>
  <c r="X21" i="28" s="1"/>
  <c r="N21" i="28"/>
  <c r="P21" i="28" s="1"/>
  <c r="R21" i="28" s="1"/>
  <c r="U20" i="28"/>
  <c r="W20" i="28" s="1"/>
  <c r="T20" i="28"/>
  <c r="V20" i="28" s="1"/>
  <c r="O20" i="28"/>
  <c r="Q20" i="28" s="1"/>
  <c r="E20" i="28"/>
  <c r="B20" i="28" s="1"/>
  <c r="E33" i="1" s="1"/>
  <c r="F20" i="28"/>
  <c r="H33" i="1" s="1"/>
  <c r="G19" i="28"/>
  <c r="F19" i="28"/>
  <c r="D18" i="28"/>
  <c r="K18" i="28" s="1"/>
  <c r="L18" i="28" s="1"/>
  <c r="Y17" i="28"/>
  <c r="E17" i="28"/>
  <c r="B17" i="28" s="1"/>
  <c r="Y16" i="28"/>
  <c r="I16" i="28"/>
  <c r="G16" i="28"/>
  <c r="F16" i="28"/>
  <c r="K16" i="28"/>
  <c r="J16" i="28"/>
  <c r="B16" i="28"/>
  <c r="D15" i="28"/>
  <c r="G15" i="28" s="1"/>
  <c r="C15" i="28"/>
  <c r="F15" i="28" s="1"/>
  <c r="B15" i="28"/>
  <c r="B14" i="28"/>
  <c r="L14" i="28" s="1"/>
  <c r="B13" i="28"/>
  <c r="L13" i="28" s="1"/>
  <c r="B12" i="28"/>
  <c r="L12" i="28" s="1"/>
  <c r="D11" i="28"/>
  <c r="G11" i="28" s="1"/>
  <c r="C11" i="28"/>
  <c r="F11" i="28" s="1"/>
  <c r="D10" i="28"/>
  <c r="G10" i="28" s="1"/>
  <c r="C10" i="28"/>
  <c r="J10" i="28" s="1"/>
  <c r="Z9" i="28"/>
  <c r="Y9" i="28" s="1"/>
  <c r="D9" i="28"/>
  <c r="K9" i="28" s="1"/>
  <c r="L9" i="28" s="1"/>
  <c r="I8" i="28"/>
  <c r="G8" i="28"/>
  <c r="D8" i="28"/>
  <c r="K8" i="28" s="1"/>
  <c r="C8" i="28"/>
  <c r="F8" i="28" s="1"/>
  <c r="C7" i="28"/>
  <c r="F7" i="28" s="1"/>
  <c r="H7" i="28" s="1"/>
  <c r="I6" i="28"/>
  <c r="G6" i="28"/>
  <c r="F6" i="28"/>
  <c r="D6" i="28"/>
  <c r="K6" i="28" s="1"/>
  <c r="C6" i="28"/>
  <c r="J6" i="28" s="1"/>
  <c r="I5" i="28"/>
  <c r="F5" i="28"/>
  <c r="H5" i="28" s="1"/>
  <c r="C5" i="28"/>
  <c r="J5" i="28" s="1"/>
  <c r="L5" i="28" s="1"/>
  <c r="I4" i="28"/>
  <c r="G4" i="28"/>
  <c r="F4" i="28"/>
  <c r="D4" i="28"/>
  <c r="K4" i="28" s="1"/>
  <c r="C4" i="28"/>
  <c r="B4" i="28"/>
  <c r="I3" i="28"/>
  <c r="G3" i="28"/>
  <c r="F3" i="28"/>
  <c r="D3" i="28"/>
  <c r="C3" i="28"/>
  <c r="J3" i="28" s="1"/>
  <c r="B3" i="28"/>
  <c r="T27" i="27"/>
  <c r="V27" i="27" s="1"/>
  <c r="X27" i="27" s="1"/>
  <c r="O26" i="27"/>
  <c r="Q26" i="27" s="1"/>
  <c r="U26" i="27"/>
  <c r="W26" i="27" s="1"/>
  <c r="T26" i="27"/>
  <c r="V26" i="27" s="1"/>
  <c r="E26" i="27"/>
  <c r="B26" i="27" s="1"/>
  <c r="M32" i="1" s="1"/>
  <c r="J26" i="27"/>
  <c r="K25" i="27"/>
  <c r="J25" i="27"/>
  <c r="G24" i="27"/>
  <c r="H24" i="27" s="1"/>
  <c r="Y23" i="27"/>
  <c r="E23" i="27"/>
  <c r="B23" i="27" s="1"/>
  <c r="Y22" i="27"/>
  <c r="I22" i="27"/>
  <c r="G22" i="27"/>
  <c r="F22" i="27"/>
  <c r="D22" i="27"/>
  <c r="K22" i="27" s="1"/>
  <c r="C22" i="27"/>
  <c r="J22" i="27" s="1"/>
  <c r="B22" i="27"/>
  <c r="T21" i="27"/>
  <c r="V21" i="27" s="1"/>
  <c r="X21" i="27" s="1"/>
  <c r="O20" i="27"/>
  <c r="Q20" i="27" s="1"/>
  <c r="U20" i="27"/>
  <c r="W20" i="27" s="1"/>
  <c r="T20" i="27"/>
  <c r="V20" i="27" s="1"/>
  <c r="E20" i="27"/>
  <c r="B20" i="27" s="1"/>
  <c r="E32" i="1" s="1"/>
  <c r="J20" i="27"/>
  <c r="F19" i="27"/>
  <c r="G19" i="27"/>
  <c r="J19" i="27"/>
  <c r="K18" i="27"/>
  <c r="L18" i="27" s="1"/>
  <c r="Y17" i="27"/>
  <c r="E17" i="27"/>
  <c r="B17" i="27" s="1"/>
  <c r="C17" i="27"/>
  <c r="Y16" i="27"/>
  <c r="I16" i="27"/>
  <c r="G16" i="27"/>
  <c r="F16" i="27"/>
  <c r="J16" i="27"/>
  <c r="B16" i="27"/>
  <c r="D15" i="27"/>
  <c r="G15" i="27" s="1"/>
  <c r="C15" i="27"/>
  <c r="J15" i="27" s="1"/>
  <c r="B15" i="27"/>
  <c r="B14" i="27"/>
  <c r="H14" i="27" s="1"/>
  <c r="B13" i="27"/>
  <c r="L13" i="27" s="1"/>
  <c r="B12" i="27"/>
  <c r="L12" i="27" s="1"/>
  <c r="D11" i="27"/>
  <c r="K11" i="27" s="1"/>
  <c r="C11" i="27"/>
  <c r="F11" i="27" s="1"/>
  <c r="D10" i="27"/>
  <c r="K10" i="27" s="1"/>
  <c r="C10" i="27"/>
  <c r="F10" i="27" s="1"/>
  <c r="Z9" i="27"/>
  <c r="Y9" i="27" s="1"/>
  <c r="D9" i="27"/>
  <c r="K9" i="27" s="1"/>
  <c r="L9" i="27" s="1"/>
  <c r="I8" i="27"/>
  <c r="G8" i="27"/>
  <c r="D8" i="27"/>
  <c r="K8" i="27" s="1"/>
  <c r="C8" i="27"/>
  <c r="J8" i="27" s="1"/>
  <c r="C7" i="27"/>
  <c r="J7" i="27" s="1"/>
  <c r="L7" i="27" s="1"/>
  <c r="I6" i="27"/>
  <c r="G6" i="27"/>
  <c r="F6" i="27"/>
  <c r="D6" i="27"/>
  <c r="K6" i="27" s="1"/>
  <c r="C6" i="27"/>
  <c r="J6" i="27" s="1"/>
  <c r="I5" i="27"/>
  <c r="F5" i="27"/>
  <c r="H5" i="27" s="1"/>
  <c r="C5" i="27"/>
  <c r="J5" i="27" s="1"/>
  <c r="L5" i="27" s="1"/>
  <c r="I4" i="27"/>
  <c r="G4" i="27"/>
  <c r="F4" i="27"/>
  <c r="D4" i="27"/>
  <c r="C4" i="27"/>
  <c r="J4" i="27" s="1"/>
  <c r="B4" i="27"/>
  <c r="I3" i="27"/>
  <c r="G3" i="27"/>
  <c r="F3" i="27"/>
  <c r="D3" i="27"/>
  <c r="C3" i="27"/>
  <c r="B3" i="27"/>
  <c r="V27" i="26"/>
  <c r="X27" i="26" s="1"/>
  <c r="P27" i="26"/>
  <c r="R27" i="26" s="1"/>
  <c r="Q26" i="26"/>
  <c r="W26" i="26"/>
  <c r="T26" i="26"/>
  <c r="V26" i="26" s="1"/>
  <c r="E26" i="26"/>
  <c r="B26" i="26" s="1"/>
  <c r="M31" i="1" s="1"/>
  <c r="J26" i="26"/>
  <c r="J25" i="26"/>
  <c r="G25" i="26"/>
  <c r="F25" i="26"/>
  <c r="G24" i="26"/>
  <c r="H24" i="26" s="1"/>
  <c r="Y23" i="26"/>
  <c r="E23" i="26"/>
  <c r="B23" i="26" s="1"/>
  <c r="C23" i="26"/>
  <c r="F23" i="26" s="1"/>
  <c r="Y22" i="26"/>
  <c r="I22" i="26"/>
  <c r="G22" i="26"/>
  <c r="F22" i="26"/>
  <c r="D22" i="26"/>
  <c r="K22" i="26" s="1"/>
  <c r="C22" i="26"/>
  <c r="J22" i="26" s="1"/>
  <c r="B22" i="26"/>
  <c r="T21" i="26"/>
  <c r="V21" i="26" s="1"/>
  <c r="X21" i="26" s="1"/>
  <c r="N21" i="26"/>
  <c r="P21" i="26" s="1"/>
  <c r="R21" i="26" s="1"/>
  <c r="O20" i="26"/>
  <c r="Q20" i="26" s="1"/>
  <c r="U20" i="26"/>
  <c r="W20" i="26" s="1"/>
  <c r="T20" i="26"/>
  <c r="V20" i="26" s="1"/>
  <c r="N20" i="26"/>
  <c r="P20" i="26" s="1"/>
  <c r="F20" i="26"/>
  <c r="H31" i="1" s="1"/>
  <c r="E20" i="26"/>
  <c r="B20" i="26" s="1"/>
  <c r="E31" i="1" s="1"/>
  <c r="J20" i="26"/>
  <c r="K19" i="26"/>
  <c r="G19" i="26"/>
  <c r="F19" i="26"/>
  <c r="D18" i="26"/>
  <c r="K18" i="26" s="1"/>
  <c r="L18" i="26" s="1"/>
  <c r="Y17" i="26"/>
  <c r="E17" i="26"/>
  <c r="B17" i="26" s="1"/>
  <c r="C17" i="26"/>
  <c r="J17" i="26" s="1"/>
  <c r="Y16" i="26"/>
  <c r="K16" i="26"/>
  <c r="I16" i="26"/>
  <c r="G16" i="26"/>
  <c r="F16" i="26"/>
  <c r="J16" i="26"/>
  <c r="B16" i="26"/>
  <c r="D15" i="26"/>
  <c r="G15" i="26" s="1"/>
  <c r="C15" i="26"/>
  <c r="F15" i="26" s="1"/>
  <c r="B15" i="26"/>
  <c r="B14" i="26"/>
  <c r="L14" i="26" s="1"/>
  <c r="B13" i="26"/>
  <c r="H13" i="26" s="1"/>
  <c r="B12" i="26"/>
  <c r="L12" i="26" s="1"/>
  <c r="D11" i="26"/>
  <c r="G11" i="26" s="1"/>
  <c r="C11" i="26"/>
  <c r="J11" i="26" s="1"/>
  <c r="D10" i="26"/>
  <c r="G10" i="26" s="1"/>
  <c r="C10" i="26"/>
  <c r="F10" i="26" s="1"/>
  <c r="Z9" i="26"/>
  <c r="Y9" i="26" s="1"/>
  <c r="D9" i="26"/>
  <c r="K9" i="26" s="1"/>
  <c r="L9" i="26" s="1"/>
  <c r="I8" i="26"/>
  <c r="G8" i="26"/>
  <c r="D8" i="26"/>
  <c r="K8" i="26" s="1"/>
  <c r="C8" i="26"/>
  <c r="F8" i="26" s="1"/>
  <c r="C7" i="26"/>
  <c r="F7" i="26" s="1"/>
  <c r="H7" i="26" s="1"/>
  <c r="I6" i="26"/>
  <c r="G6" i="26"/>
  <c r="F6" i="26"/>
  <c r="D6" i="26"/>
  <c r="K6" i="26" s="1"/>
  <c r="C6" i="26"/>
  <c r="J6" i="26" s="1"/>
  <c r="I5" i="26"/>
  <c r="F5" i="26"/>
  <c r="H5" i="26" s="1"/>
  <c r="C5" i="26"/>
  <c r="J5" i="26" s="1"/>
  <c r="L5" i="26" s="1"/>
  <c r="I4" i="26"/>
  <c r="G4" i="26"/>
  <c r="F4" i="26"/>
  <c r="D4" i="26"/>
  <c r="K4" i="26" s="1"/>
  <c r="C4" i="26"/>
  <c r="J4" i="26" s="1"/>
  <c r="B4" i="26"/>
  <c r="I3" i="26"/>
  <c r="G3" i="26"/>
  <c r="F3" i="26"/>
  <c r="D3" i="26"/>
  <c r="C3" i="26"/>
  <c r="B3" i="26"/>
  <c r="T27" i="25"/>
  <c r="V27" i="25" s="1"/>
  <c r="X27" i="25" s="1"/>
  <c r="N27" i="25"/>
  <c r="P27" i="25" s="1"/>
  <c r="R27" i="25" s="1"/>
  <c r="O26" i="25"/>
  <c r="Q26" i="25" s="1"/>
  <c r="U26" i="25"/>
  <c r="W26" i="25" s="1"/>
  <c r="T26" i="25"/>
  <c r="V26" i="25" s="1"/>
  <c r="F26" i="25"/>
  <c r="P30" i="1" s="1"/>
  <c r="E26" i="25"/>
  <c r="B26" i="25" s="1"/>
  <c r="M30" i="1" s="1"/>
  <c r="J26" i="25"/>
  <c r="G25" i="25"/>
  <c r="F25" i="25"/>
  <c r="K24" i="25"/>
  <c r="L24" i="25" s="1"/>
  <c r="Y23" i="25"/>
  <c r="E23" i="25"/>
  <c r="B23" i="25" s="1"/>
  <c r="Y22" i="25"/>
  <c r="I22" i="25"/>
  <c r="G22" i="25"/>
  <c r="F22" i="25"/>
  <c r="D22" i="25"/>
  <c r="K22" i="25" s="1"/>
  <c r="C22" i="25"/>
  <c r="J22" i="25" s="1"/>
  <c r="B22" i="25"/>
  <c r="T21" i="25"/>
  <c r="V21" i="25" s="1"/>
  <c r="X21" i="25" s="1"/>
  <c r="N21" i="25"/>
  <c r="P21" i="25" s="1"/>
  <c r="R21" i="25" s="1"/>
  <c r="O20" i="25"/>
  <c r="Q20" i="25" s="1"/>
  <c r="U20" i="25"/>
  <c r="W20" i="25" s="1"/>
  <c r="T20" i="25"/>
  <c r="V20" i="25" s="1"/>
  <c r="N20" i="25"/>
  <c r="P20" i="25" s="1"/>
  <c r="F20" i="25"/>
  <c r="H30" i="1" s="1"/>
  <c r="E20" i="25"/>
  <c r="B20" i="25" s="1"/>
  <c r="E30" i="1" s="1"/>
  <c r="J20" i="25"/>
  <c r="K19" i="25"/>
  <c r="G19" i="25"/>
  <c r="F19" i="25"/>
  <c r="G18" i="25"/>
  <c r="H18" i="25" s="1"/>
  <c r="Y17" i="25"/>
  <c r="E17" i="25"/>
  <c r="B17" i="25" s="1"/>
  <c r="C17" i="25"/>
  <c r="F17" i="25" s="1"/>
  <c r="Y16" i="25"/>
  <c r="K16" i="25"/>
  <c r="I16" i="25"/>
  <c r="G16" i="25"/>
  <c r="F16" i="25"/>
  <c r="J16" i="25"/>
  <c r="B16" i="25"/>
  <c r="D15" i="25"/>
  <c r="K15" i="25" s="1"/>
  <c r="C15" i="25"/>
  <c r="F15" i="25" s="1"/>
  <c r="B15" i="25"/>
  <c r="B14" i="25"/>
  <c r="L14" i="25" s="1"/>
  <c r="B13" i="25"/>
  <c r="H13" i="25" s="1"/>
  <c r="B12" i="25"/>
  <c r="H12" i="25" s="1"/>
  <c r="D11" i="25"/>
  <c r="G11" i="25" s="1"/>
  <c r="C11" i="25"/>
  <c r="J11" i="25" s="1"/>
  <c r="D10" i="25"/>
  <c r="G10" i="25" s="1"/>
  <c r="C10" i="25"/>
  <c r="J10" i="25" s="1"/>
  <c r="Z9" i="25"/>
  <c r="Y9" i="25" s="1"/>
  <c r="D9" i="25"/>
  <c r="K9" i="25" s="1"/>
  <c r="L9" i="25" s="1"/>
  <c r="I8" i="25"/>
  <c r="G8" i="25"/>
  <c r="D8" i="25"/>
  <c r="K8" i="25" s="1"/>
  <c r="C8" i="25"/>
  <c r="J8" i="25" s="1"/>
  <c r="C7" i="25"/>
  <c r="F7" i="25" s="1"/>
  <c r="H7" i="25" s="1"/>
  <c r="I6" i="25"/>
  <c r="G6" i="25"/>
  <c r="F6" i="25"/>
  <c r="D6" i="25"/>
  <c r="K6" i="25" s="1"/>
  <c r="C6" i="25"/>
  <c r="J6" i="25" s="1"/>
  <c r="I5" i="25"/>
  <c r="F5" i="25"/>
  <c r="H5" i="25" s="1"/>
  <c r="C5" i="25"/>
  <c r="J5" i="25" s="1"/>
  <c r="L5" i="25" s="1"/>
  <c r="I4" i="25"/>
  <c r="G4" i="25"/>
  <c r="F4" i="25"/>
  <c r="D4" i="25"/>
  <c r="K4" i="25" s="1"/>
  <c r="C4" i="25"/>
  <c r="J4" i="25" s="1"/>
  <c r="B4" i="25"/>
  <c r="I3" i="25"/>
  <c r="G3" i="25"/>
  <c r="F3" i="25"/>
  <c r="D3" i="25"/>
  <c r="C3" i="25"/>
  <c r="B3" i="25"/>
  <c r="T27" i="24"/>
  <c r="V27" i="24" s="1"/>
  <c r="X27" i="24" s="1"/>
  <c r="N27" i="24"/>
  <c r="P27" i="24" s="1"/>
  <c r="R27" i="24" s="1"/>
  <c r="O26" i="24"/>
  <c r="Q26" i="24" s="1"/>
  <c r="U26" i="24"/>
  <c r="W26" i="24" s="1"/>
  <c r="T26" i="24"/>
  <c r="V26" i="24" s="1"/>
  <c r="E26" i="24"/>
  <c r="B26" i="24" s="1"/>
  <c r="M24" i="1" s="1"/>
  <c r="J26" i="24"/>
  <c r="G25" i="24"/>
  <c r="C23" i="24"/>
  <c r="K24" i="24"/>
  <c r="L24" i="24" s="1"/>
  <c r="Y23" i="24"/>
  <c r="E23" i="24"/>
  <c r="B23" i="24" s="1"/>
  <c r="Y22" i="24"/>
  <c r="I22" i="24"/>
  <c r="G22" i="24"/>
  <c r="F22" i="24"/>
  <c r="D22" i="24"/>
  <c r="K22" i="24" s="1"/>
  <c r="C22" i="24"/>
  <c r="J22" i="24" s="1"/>
  <c r="B22" i="24"/>
  <c r="T21" i="24"/>
  <c r="V21" i="24" s="1"/>
  <c r="X21" i="24" s="1"/>
  <c r="O20" i="24"/>
  <c r="Q20" i="24" s="1"/>
  <c r="U20" i="24"/>
  <c r="W20" i="24" s="1"/>
  <c r="T20" i="24"/>
  <c r="V20" i="24" s="1"/>
  <c r="E20" i="24"/>
  <c r="B20" i="24" s="1"/>
  <c r="E24" i="1" s="1"/>
  <c r="J20" i="24"/>
  <c r="G19" i="24"/>
  <c r="K19" i="24"/>
  <c r="G18" i="24"/>
  <c r="H18" i="24" s="1"/>
  <c r="K18" i="24"/>
  <c r="L18" i="24" s="1"/>
  <c r="Y17" i="24"/>
  <c r="E17" i="24"/>
  <c r="B17" i="24" s="1"/>
  <c r="C17" i="24"/>
  <c r="Y16" i="24"/>
  <c r="K16" i="24"/>
  <c r="J16" i="24"/>
  <c r="I16" i="24"/>
  <c r="G16" i="24"/>
  <c r="F16" i="24"/>
  <c r="B16" i="24"/>
  <c r="D15" i="24"/>
  <c r="K15" i="24" s="1"/>
  <c r="C15" i="24"/>
  <c r="B15" i="24"/>
  <c r="B14" i="24"/>
  <c r="B13" i="24"/>
  <c r="L13" i="24" s="1"/>
  <c r="B12" i="24"/>
  <c r="L12" i="24" s="1"/>
  <c r="D11" i="24"/>
  <c r="G11" i="24" s="1"/>
  <c r="C11" i="24"/>
  <c r="J11" i="24" s="1"/>
  <c r="D10" i="24"/>
  <c r="G10" i="24" s="1"/>
  <c r="C10" i="24"/>
  <c r="J10" i="24" s="1"/>
  <c r="Z9" i="24"/>
  <c r="Y9" i="24" s="1"/>
  <c r="D9" i="24"/>
  <c r="K9" i="24" s="1"/>
  <c r="L9" i="24" s="1"/>
  <c r="I8" i="24"/>
  <c r="G8" i="24"/>
  <c r="D8" i="24"/>
  <c r="K8" i="24" s="1"/>
  <c r="C8" i="24"/>
  <c r="F8" i="24" s="1"/>
  <c r="C7" i="24"/>
  <c r="F7" i="24" s="1"/>
  <c r="H7" i="24" s="1"/>
  <c r="I6" i="24"/>
  <c r="G6" i="24"/>
  <c r="F6" i="24"/>
  <c r="D6" i="24"/>
  <c r="K6" i="24" s="1"/>
  <c r="C6" i="24"/>
  <c r="J6" i="24" s="1"/>
  <c r="I5" i="24"/>
  <c r="F5" i="24"/>
  <c r="H5" i="24" s="1"/>
  <c r="C5" i="24"/>
  <c r="J5" i="24" s="1"/>
  <c r="L5" i="24" s="1"/>
  <c r="I4" i="24"/>
  <c r="G4" i="24"/>
  <c r="F4" i="24"/>
  <c r="D4" i="24"/>
  <c r="K4" i="24" s="1"/>
  <c r="C4" i="24"/>
  <c r="J4" i="24" s="1"/>
  <c r="B4" i="24"/>
  <c r="I3" i="24"/>
  <c r="G3" i="24"/>
  <c r="F3" i="24"/>
  <c r="D3" i="24"/>
  <c r="C3" i="24"/>
  <c r="B3" i="24"/>
  <c r="T27" i="23"/>
  <c r="V27" i="23" s="1"/>
  <c r="X27" i="23" s="1"/>
  <c r="N27" i="23"/>
  <c r="P27" i="23" s="1"/>
  <c r="R27" i="23" s="1"/>
  <c r="U26" i="23"/>
  <c r="W26" i="23" s="1"/>
  <c r="T26" i="23"/>
  <c r="V26" i="23" s="1"/>
  <c r="E26" i="23"/>
  <c r="B26" i="23" s="1"/>
  <c r="M23" i="1" s="1"/>
  <c r="J26" i="23"/>
  <c r="G25" i="23"/>
  <c r="J25" i="23"/>
  <c r="D24" i="23"/>
  <c r="K24" i="23" s="1"/>
  <c r="L24" i="23" s="1"/>
  <c r="Y23" i="23"/>
  <c r="E23" i="23"/>
  <c r="B23" i="23" s="1"/>
  <c r="Y22" i="23"/>
  <c r="I22" i="23"/>
  <c r="G22" i="23"/>
  <c r="F22" i="23"/>
  <c r="D22" i="23"/>
  <c r="K22" i="23" s="1"/>
  <c r="C22" i="23"/>
  <c r="J22" i="23" s="1"/>
  <c r="B22" i="23"/>
  <c r="T21" i="23"/>
  <c r="V21" i="23" s="1"/>
  <c r="X21" i="23" s="1"/>
  <c r="N21" i="23"/>
  <c r="P21" i="23" s="1"/>
  <c r="R21" i="23" s="1"/>
  <c r="U20" i="23"/>
  <c r="W20" i="23" s="1"/>
  <c r="T20" i="23"/>
  <c r="V20" i="23" s="1"/>
  <c r="F20" i="23"/>
  <c r="H23" i="1" s="1"/>
  <c r="E20" i="23"/>
  <c r="B20" i="23" s="1"/>
  <c r="J20" i="23"/>
  <c r="G19" i="23"/>
  <c r="K19" i="23"/>
  <c r="F19" i="23"/>
  <c r="D18" i="23"/>
  <c r="D17" i="23" s="1"/>
  <c r="Y17" i="23"/>
  <c r="E17" i="23"/>
  <c r="B17" i="23" s="1"/>
  <c r="Y16" i="23"/>
  <c r="AO23" i="1" s="1"/>
  <c r="AP23" i="1" s="1"/>
  <c r="J16" i="23"/>
  <c r="I16" i="23"/>
  <c r="G16" i="23"/>
  <c r="F16" i="23"/>
  <c r="K16" i="23"/>
  <c r="B16" i="23"/>
  <c r="D15" i="23"/>
  <c r="K15" i="23" s="1"/>
  <c r="C15" i="23"/>
  <c r="F15" i="23" s="1"/>
  <c r="B15" i="23"/>
  <c r="B14" i="23"/>
  <c r="L14" i="23" s="1"/>
  <c r="B13" i="23"/>
  <c r="H13" i="23" s="1"/>
  <c r="B12" i="23"/>
  <c r="L12" i="23" s="1"/>
  <c r="D11" i="23"/>
  <c r="K11" i="23" s="1"/>
  <c r="C11" i="23"/>
  <c r="J11" i="23" s="1"/>
  <c r="D10" i="23"/>
  <c r="K10" i="23" s="1"/>
  <c r="C10" i="23"/>
  <c r="J10" i="23" s="1"/>
  <c r="Z9" i="23"/>
  <c r="Y9" i="23" s="1"/>
  <c r="D9" i="23"/>
  <c r="G9" i="23" s="1"/>
  <c r="I8" i="23"/>
  <c r="G8" i="23"/>
  <c r="D8" i="23"/>
  <c r="K8" i="23" s="1"/>
  <c r="C8" i="23"/>
  <c r="F8" i="23" s="1"/>
  <c r="C7" i="23"/>
  <c r="J7" i="23" s="1"/>
  <c r="L7" i="23" s="1"/>
  <c r="I6" i="23"/>
  <c r="G6" i="23"/>
  <c r="F6" i="23"/>
  <c r="D6" i="23"/>
  <c r="K6" i="23" s="1"/>
  <c r="C6" i="23"/>
  <c r="J6" i="23" s="1"/>
  <c r="I5" i="23"/>
  <c r="F5" i="23"/>
  <c r="H5" i="23" s="1"/>
  <c r="C5" i="23"/>
  <c r="J5" i="23" s="1"/>
  <c r="L5" i="23" s="1"/>
  <c r="I4" i="23"/>
  <c r="G4" i="23"/>
  <c r="F4" i="23"/>
  <c r="D4" i="23"/>
  <c r="K4" i="23" s="1"/>
  <c r="C4" i="23"/>
  <c r="J4" i="23" s="1"/>
  <c r="B4" i="23"/>
  <c r="I3" i="23"/>
  <c r="G3" i="23"/>
  <c r="F3" i="23"/>
  <c r="D3" i="23"/>
  <c r="C3" i="23"/>
  <c r="B3" i="23"/>
  <c r="V27" i="22"/>
  <c r="X27" i="22" s="1"/>
  <c r="Q26" i="22"/>
  <c r="W26" i="22"/>
  <c r="V26" i="22"/>
  <c r="E26" i="22"/>
  <c r="M22" i="1" s="1"/>
  <c r="J26" i="22"/>
  <c r="K25" i="22"/>
  <c r="G25" i="22"/>
  <c r="F25" i="22"/>
  <c r="K24" i="22"/>
  <c r="L24" i="22" s="1"/>
  <c r="Y23" i="22"/>
  <c r="E23" i="22"/>
  <c r="B23" i="22" s="1"/>
  <c r="Y22" i="22"/>
  <c r="I22" i="22"/>
  <c r="G22" i="22"/>
  <c r="F22" i="22"/>
  <c r="D22" i="22"/>
  <c r="K22" i="22" s="1"/>
  <c r="C22" i="22"/>
  <c r="J22" i="22" s="1"/>
  <c r="B22" i="22"/>
  <c r="T21" i="22"/>
  <c r="O20" i="22"/>
  <c r="Q20" i="22" s="1"/>
  <c r="U20" i="22"/>
  <c r="W20" i="22" s="1"/>
  <c r="T20" i="22"/>
  <c r="V20" i="22" s="1"/>
  <c r="E20" i="22"/>
  <c r="E22" i="1" s="1"/>
  <c r="J20" i="22"/>
  <c r="G19" i="22"/>
  <c r="F19" i="22"/>
  <c r="K19" i="22"/>
  <c r="J19" i="22"/>
  <c r="D18" i="22"/>
  <c r="K18" i="22" s="1"/>
  <c r="L18" i="22" s="1"/>
  <c r="Y17" i="22"/>
  <c r="E17" i="22"/>
  <c r="B17" i="22" s="1"/>
  <c r="C17" i="22"/>
  <c r="J17" i="22" s="1"/>
  <c r="Y16" i="22"/>
  <c r="I16" i="22"/>
  <c r="G16" i="22"/>
  <c r="F16" i="22"/>
  <c r="K16" i="22"/>
  <c r="J16" i="22"/>
  <c r="B16" i="22"/>
  <c r="D15" i="22"/>
  <c r="K15" i="22" s="1"/>
  <c r="C15" i="22"/>
  <c r="F15" i="22" s="1"/>
  <c r="B15" i="22"/>
  <c r="B14" i="22"/>
  <c r="L14" i="22" s="1"/>
  <c r="B13" i="22"/>
  <c r="H13" i="22" s="1"/>
  <c r="B12" i="22"/>
  <c r="L12" i="22" s="1"/>
  <c r="D11" i="22"/>
  <c r="G11" i="22" s="1"/>
  <c r="C11" i="22"/>
  <c r="F11" i="22" s="1"/>
  <c r="D10" i="22"/>
  <c r="G10" i="22" s="1"/>
  <c r="C10" i="22"/>
  <c r="F10" i="22" s="1"/>
  <c r="Z9" i="22"/>
  <c r="Y9" i="22" s="1"/>
  <c r="D9" i="22"/>
  <c r="G9" i="22" s="1"/>
  <c r="I8" i="22"/>
  <c r="G8" i="22"/>
  <c r="D8" i="22"/>
  <c r="K8" i="22" s="1"/>
  <c r="C8" i="22"/>
  <c r="J8" i="22" s="1"/>
  <c r="C7" i="22"/>
  <c r="J7" i="22" s="1"/>
  <c r="L7" i="22" s="1"/>
  <c r="I6" i="22"/>
  <c r="G6" i="22"/>
  <c r="F6" i="22"/>
  <c r="D6" i="22"/>
  <c r="K6" i="22" s="1"/>
  <c r="C6" i="22"/>
  <c r="J6" i="22" s="1"/>
  <c r="I5" i="22"/>
  <c r="F5" i="22"/>
  <c r="H5" i="22" s="1"/>
  <c r="C5" i="22"/>
  <c r="J5" i="22" s="1"/>
  <c r="L5" i="22" s="1"/>
  <c r="I4" i="22"/>
  <c r="G4" i="22"/>
  <c r="F4" i="22"/>
  <c r="D4" i="22"/>
  <c r="C4" i="22"/>
  <c r="J4" i="22" s="1"/>
  <c r="B4" i="22"/>
  <c r="I3" i="22"/>
  <c r="G3" i="22"/>
  <c r="F3" i="22"/>
  <c r="D3" i="22"/>
  <c r="C3" i="22"/>
  <c r="B3" i="22"/>
  <c r="T27" i="21"/>
  <c r="V27" i="21" s="1"/>
  <c r="X27" i="21" s="1"/>
  <c r="O26" i="21"/>
  <c r="Q26" i="21" s="1"/>
  <c r="U26" i="21"/>
  <c r="W26" i="21" s="1"/>
  <c r="T26" i="21"/>
  <c r="V26" i="21" s="1"/>
  <c r="E26" i="21"/>
  <c r="B26" i="21" s="1"/>
  <c r="M21" i="1" s="1"/>
  <c r="J26" i="21"/>
  <c r="G25" i="21"/>
  <c r="C23" i="21"/>
  <c r="K24" i="21"/>
  <c r="L24" i="21" s="1"/>
  <c r="Y23" i="21"/>
  <c r="E23" i="21"/>
  <c r="B23" i="21" s="1"/>
  <c r="Y22" i="21"/>
  <c r="I22" i="21"/>
  <c r="G22" i="21"/>
  <c r="F22" i="21"/>
  <c r="D22" i="21"/>
  <c r="K22" i="21" s="1"/>
  <c r="C22" i="21"/>
  <c r="J22" i="21" s="1"/>
  <c r="B22" i="21"/>
  <c r="T21" i="21"/>
  <c r="O20" i="21"/>
  <c r="Q20" i="21" s="1"/>
  <c r="U20" i="21"/>
  <c r="W20" i="21" s="1"/>
  <c r="T20" i="21"/>
  <c r="V20" i="21" s="1"/>
  <c r="E20" i="21"/>
  <c r="B20" i="21" s="1"/>
  <c r="E21" i="1" s="1"/>
  <c r="J20" i="21"/>
  <c r="K19" i="21"/>
  <c r="F19" i="21"/>
  <c r="K18" i="21"/>
  <c r="L18" i="21" s="1"/>
  <c r="Y17" i="21"/>
  <c r="E17" i="21"/>
  <c r="B17" i="21" s="1"/>
  <c r="Y16" i="21"/>
  <c r="I16" i="21"/>
  <c r="G16" i="21"/>
  <c r="F16" i="21"/>
  <c r="K16" i="21"/>
  <c r="J16" i="21"/>
  <c r="B16" i="21"/>
  <c r="D15" i="21"/>
  <c r="K15" i="21" s="1"/>
  <c r="C15" i="21"/>
  <c r="J15" i="21" s="1"/>
  <c r="B15" i="21"/>
  <c r="B14" i="21"/>
  <c r="H14" i="21" s="1"/>
  <c r="B13" i="21"/>
  <c r="H13" i="21" s="1"/>
  <c r="B12" i="21"/>
  <c r="L12" i="21" s="1"/>
  <c r="D11" i="21"/>
  <c r="G11" i="21" s="1"/>
  <c r="C11" i="21"/>
  <c r="F11" i="21" s="1"/>
  <c r="D10" i="21"/>
  <c r="G10" i="21" s="1"/>
  <c r="C10" i="21"/>
  <c r="F10" i="21" s="1"/>
  <c r="Z9" i="21"/>
  <c r="Y9" i="21" s="1"/>
  <c r="D9" i="21"/>
  <c r="K9" i="21" s="1"/>
  <c r="L9" i="21" s="1"/>
  <c r="I8" i="21"/>
  <c r="G8" i="21"/>
  <c r="D8" i="21"/>
  <c r="K8" i="21" s="1"/>
  <c r="C8" i="21"/>
  <c r="J8" i="21" s="1"/>
  <c r="C7" i="21"/>
  <c r="F7" i="21" s="1"/>
  <c r="H7" i="21" s="1"/>
  <c r="I6" i="21"/>
  <c r="G6" i="21"/>
  <c r="F6" i="21"/>
  <c r="D6" i="21"/>
  <c r="K6" i="21" s="1"/>
  <c r="C6" i="21"/>
  <c r="J6" i="21" s="1"/>
  <c r="I5" i="21"/>
  <c r="F5" i="21"/>
  <c r="H5" i="21" s="1"/>
  <c r="C5" i="21"/>
  <c r="J5" i="21" s="1"/>
  <c r="L5" i="21" s="1"/>
  <c r="I4" i="21"/>
  <c r="G4" i="21"/>
  <c r="F4" i="21"/>
  <c r="D4" i="21"/>
  <c r="C4" i="21"/>
  <c r="J4" i="21" s="1"/>
  <c r="B4" i="21"/>
  <c r="I3" i="21"/>
  <c r="G3" i="21"/>
  <c r="F3" i="21"/>
  <c r="D3" i="21"/>
  <c r="C3" i="21"/>
  <c r="B3" i="21"/>
  <c r="V27" i="20"/>
  <c r="X27" i="20" s="1"/>
  <c r="Q26" i="20"/>
  <c r="W26" i="20"/>
  <c r="V26" i="20"/>
  <c r="F26" i="20"/>
  <c r="P20" i="1" s="1"/>
  <c r="E26" i="20"/>
  <c r="J26" i="20"/>
  <c r="K25" i="20"/>
  <c r="G25" i="20"/>
  <c r="F25" i="20"/>
  <c r="G24" i="20"/>
  <c r="H24" i="20" s="1"/>
  <c r="Y23" i="20"/>
  <c r="E23" i="20"/>
  <c r="B23" i="20" s="1"/>
  <c r="Y22" i="20"/>
  <c r="I22" i="20"/>
  <c r="G22" i="20"/>
  <c r="F22" i="20"/>
  <c r="D22" i="20"/>
  <c r="K22" i="20" s="1"/>
  <c r="J22" i="20"/>
  <c r="B22" i="20"/>
  <c r="T21" i="20"/>
  <c r="O20" i="20"/>
  <c r="Q20" i="20" s="1"/>
  <c r="U20" i="20"/>
  <c r="W20" i="20" s="1"/>
  <c r="T20" i="20"/>
  <c r="V20" i="20" s="1"/>
  <c r="E20" i="20"/>
  <c r="B20" i="20" s="1"/>
  <c r="E20" i="1" s="1"/>
  <c r="J20" i="20"/>
  <c r="G19" i="20"/>
  <c r="K19" i="20"/>
  <c r="F19" i="20"/>
  <c r="K18" i="20"/>
  <c r="L18" i="20" s="1"/>
  <c r="Y17" i="20"/>
  <c r="E17" i="20"/>
  <c r="B17" i="20" s="1"/>
  <c r="Y16" i="20"/>
  <c r="J16" i="20"/>
  <c r="I16" i="20"/>
  <c r="G16" i="20"/>
  <c r="F16" i="20"/>
  <c r="K16" i="20"/>
  <c r="B16" i="20"/>
  <c r="D15" i="20"/>
  <c r="K15" i="20" s="1"/>
  <c r="C15" i="20"/>
  <c r="J15" i="20" s="1"/>
  <c r="B15" i="20"/>
  <c r="B14" i="20"/>
  <c r="H14" i="20" s="1"/>
  <c r="B13" i="20"/>
  <c r="H13" i="20" s="1"/>
  <c r="B12" i="20"/>
  <c r="L12" i="20" s="1"/>
  <c r="D11" i="20"/>
  <c r="G11" i="20" s="1"/>
  <c r="C11" i="20"/>
  <c r="F11" i="20" s="1"/>
  <c r="D10" i="20"/>
  <c r="G10" i="20" s="1"/>
  <c r="C10" i="20"/>
  <c r="F10" i="20" s="1"/>
  <c r="Z9" i="20"/>
  <c r="Y9" i="20" s="1"/>
  <c r="D9" i="20"/>
  <c r="I8" i="20"/>
  <c r="G8" i="20"/>
  <c r="D8" i="20"/>
  <c r="K8" i="20" s="1"/>
  <c r="C8" i="20"/>
  <c r="J8" i="20" s="1"/>
  <c r="C7" i="20"/>
  <c r="J7" i="20" s="1"/>
  <c r="L7" i="20" s="1"/>
  <c r="I6" i="20"/>
  <c r="G6" i="20"/>
  <c r="F6" i="20"/>
  <c r="D6" i="20"/>
  <c r="K6" i="20" s="1"/>
  <c r="C6" i="20"/>
  <c r="J6" i="20" s="1"/>
  <c r="I5" i="20"/>
  <c r="F5" i="20"/>
  <c r="H5" i="20" s="1"/>
  <c r="C5" i="20"/>
  <c r="J5" i="20" s="1"/>
  <c r="L5" i="20" s="1"/>
  <c r="I4" i="20"/>
  <c r="G4" i="20"/>
  <c r="F4" i="20"/>
  <c r="D4" i="20"/>
  <c r="C4" i="20"/>
  <c r="J4" i="20" s="1"/>
  <c r="B4" i="20"/>
  <c r="I3" i="20"/>
  <c r="G3" i="20"/>
  <c r="F3" i="20"/>
  <c r="D3" i="20"/>
  <c r="C3" i="20"/>
  <c r="B3" i="20"/>
  <c r="T27" i="19"/>
  <c r="V27" i="19" s="1"/>
  <c r="X27" i="19" s="1"/>
  <c r="O26" i="19"/>
  <c r="Q26" i="19" s="1"/>
  <c r="U26" i="19"/>
  <c r="W26" i="19" s="1"/>
  <c r="T26" i="19"/>
  <c r="V26" i="19" s="1"/>
  <c r="E26" i="19"/>
  <c r="B26" i="19" s="1"/>
  <c r="M19" i="1" s="1"/>
  <c r="F26" i="19"/>
  <c r="P19" i="1" s="1"/>
  <c r="F25" i="19"/>
  <c r="G25" i="19"/>
  <c r="C23" i="19"/>
  <c r="K24" i="19"/>
  <c r="L24" i="19" s="1"/>
  <c r="G24" i="19"/>
  <c r="H24" i="19" s="1"/>
  <c r="Y23" i="19"/>
  <c r="E23" i="19"/>
  <c r="B23" i="19" s="1"/>
  <c r="Y22" i="19"/>
  <c r="I22" i="19"/>
  <c r="G22" i="19"/>
  <c r="F22" i="19"/>
  <c r="D22" i="19"/>
  <c r="K22" i="19" s="1"/>
  <c r="C22" i="19"/>
  <c r="J22" i="19" s="1"/>
  <c r="B22" i="19"/>
  <c r="T21" i="19"/>
  <c r="V21" i="19" s="1"/>
  <c r="X21" i="19" s="1"/>
  <c r="N21" i="19"/>
  <c r="P21" i="19" s="1"/>
  <c r="R21" i="19" s="1"/>
  <c r="U20" i="19"/>
  <c r="W20" i="19" s="1"/>
  <c r="T20" i="19"/>
  <c r="V20" i="19" s="1"/>
  <c r="O20" i="19"/>
  <c r="Q20" i="19" s="1"/>
  <c r="E20" i="19"/>
  <c r="B20" i="19" s="1"/>
  <c r="E19" i="1" s="1"/>
  <c r="F20" i="19"/>
  <c r="H19" i="1" s="1"/>
  <c r="J19" i="19"/>
  <c r="G19" i="19"/>
  <c r="F19" i="19"/>
  <c r="K18" i="19"/>
  <c r="L18" i="19" s="1"/>
  <c r="G18" i="19"/>
  <c r="H18" i="19" s="1"/>
  <c r="Y17" i="19"/>
  <c r="E17" i="19"/>
  <c r="B17" i="19" s="1"/>
  <c r="D17" i="19"/>
  <c r="K17" i="19" s="1"/>
  <c r="C17" i="19"/>
  <c r="J17" i="19" s="1"/>
  <c r="Y16" i="19"/>
  <c r="K16" i="19"/>
  <c r="I16" i="19"/>
  <c r="G16" i="19"/>
  <c r="F16" i="19"/>
  <c r="J16" i="19"/>
  <c r="B16" i="19"/>
  <c r="D15" i="19"/>
  <c r="G15" i="19" s="1"/>
  <c r="C15" i="19"/>
  <c r="F15" i="19" s="1"/>
  <c r="B15" i="19"/>
  <c r="B14" i="19"/>
  <c r="L14" i="19" s="1"/>
  <c r="B13" i="19"/>
  <c r="L13" i="19" s="1"/>
  <c r="B12" i="19"/>
  <c r="L12" i="19" s="1"/>
  <c r="D11" i="19"/>
  <c r="K11" i="19" s="1"/>
  <c r="C11" i="19"/>
  <c r="J11" i="19" s="1"/>
  <c r="D10" i="19"/>
  <c r="K10" i="19" s="1"/>
  <c r="C10" i="19"/>
  <c r="J10" i="19" s="1"/>
  <c r="Z9" i="19"/>
  <c r="Y9" i="19" s="1"/>
  <c r="D9" i="19"/>
  <c r="K9" i="19" s="1"/>
  <c r="L9" i="19" s="1"/>
  <c r="I8" i="19"/>
  <c r="G8" i="19"/>
  <c r="D8" i="19"/>
  <c r="K8" i="19" s="1"/>
  <c r="C8" i="19"/>
  <c r="F8" i="19" s="1"/>
  <c r="C7" i="19"/>
  <c r="F7" i="19" s="1"/>
  <c r="H7" i="19" s="1"/>
  <c r="I6" i="19"/>
  <c r="G6" i="19"/>
  <c r="F6" i="19"/>
  <c r="D6" i="19"/>
  <c r="K6" i="19" s="1"/>
  <c r="C6" i="19"/>
  <c r="J6" i="19" s="1"/>
  <c r="I5" i="19"/>
  <c r="F5" i="19"/>
  <c r="H5" i="19" s="1"/>
  <c r="C5" i="19"/>
  <c r="J5" i="19" s="1"/>
  <c r="L5" i="19" s="1"/>
  <c r="I4" i="19"/>
  <c r="G4" i="19"/>
  <c r="F4" i="19"/>
  <c r="D4" i="19"/>
  <c r="K4" i="19" s="1"/>
  <c r="C4" i="19"/>
  <c r="J4" i="19" s="1"/>
  <c r="B4" i="19"/>
  <c r="I3" i="19"/>
  <c r="G3" i="19"/>
  <c r="F3" i="19"/>
  <c r="D3" i="19"/>
  <c r="C3" i="19"/>
  <c r="B3" i="19"/>
  <c r="T27" i="18"/>
  <c r="V27" i="18" s="1"/>
  <c r="X27" i="18" s="1"/>
  <c r="N27" i="18"/>
  <c r="P27" i="18" s="1"/>
  <c r="R27" i="18" s="1"/>
  <c r="U26" i="18"/>
  <c r="W26" i="18" s="1"/>
  <c r="T26" i="18"/>
  <c r="V26" i="18" s="1"/>
  <c r="O26" i="18"/>
  <c r="Q26" i="18" s="1"/>
  <c r="E26" i="18"/>
  <c r="B26" i="18" s="1"/>
  <c r="M17" i="1" s="1"/>
  <c r="J26" i="18"/>
  <c r="G25" i="18"/>
  <c r="C23" i="18"/>
  <c r="K24" i="18"/>
  <c r="L24" i="18" s="1"/>
  <c r="Y23" i="18"/>
  <c r="E23" i="18"/>
  <c r="B23" i="18" s="1"/>
  <c r="Y22" i="18"/>
  <c r="I22" i="18"/>
  <c r="G22" i="18"/>
  <c r="F22" i="18"/>
  <c r="D22" i="18"/>
  <c r="K22" i="18" s="1"/>
  <c r="C22" i="18"/>
  <c r="J22" i="18" s="1"/>
  <c r="B22" i="18"/>
  <c r="T21" i="18"/>
  <c r="V21" i="18" s="1"/>
  <c r="X21" i="18" s="1"/>
  <c r="N21" i="18"/>
  <c r="P21" i="18" s="1"/>
  <c r="R21" i="18" s="1"/>
  <c r="O20" i="18"/>
  <c r="Q20" i="18" s="1"/>
  <c r="U20" i="18"/>
  <c r="W20" i="18" s="1"/>
  <c r="T20" i="18"/>
  <c r="V20" i="18" s="1"/>
  <c r="N20" i="18"/>
  <c r="P20" i="18" s="1"/>
  <c r="E20" i="18"/>
  <c r="B20" i="18" s="1"/>
  <c r="E17" i="1" s="1"/>
  <c r="J20" i="18"/>
  <c r="J19" i="18"/>
  <c r="G19" i="18"/>
  <c r="F19" i="18"/>
  <c r="K18" i="18"/>
  <c r="L18" i="18" s="1"/>
  <c r="Y17" i="18"/>
  <c r="E17" i="18"/>
  <c r="B17" i="18" s="1"/>
  <c r="C17" i="18"/>
  <c r="F17" i="18" s="1"/>
  <c r="Y16" i="18"/>
  <c r="K16" i="18"/>
  <c r="I16" i="18"/>
  <c r="G16" i="18"/>
  <c r="F16" i="18"/>
  <c r="B16" i="18"/>
  <c r="D15" i="18"/>
  <c r="G15" i="18" s="1"/>
  <c r="C15" i="18"/>
  <c r="F15" i="18" s="1"/>
  <c r="B15" i="18"/>
  <c r="B14" i="18"/>
  <c r="L14" i="18" s="1"/>
  <c r="B13" i="18"/>
  <c r="L13" i="18" s="1"/>
  <c r="B12" i="18"/>
  <c r="L12" i="18" s="1"/>
  <c r="D11" i="18"/>
  <c r="K11" i="18" s="1"/>
  <c r="C11" i="18"/>
  <c r="F11" i="18" s="1"/>
  <c r="D10" i="18"/>
  <c r="K10" i="18" s="1"/>
  <c r="C10" i="18"/>
  <c r="J10" i="18" s="1"/>
  <c r="Z9" i="18"/>
  <c r="Y9" i="18" s="1"/>
  <c r="D9" i="18"/>
  <c r="K9" i="18" s="1"/>
  <c r="L9" i="18" s="1"/>
  <c r="I8" i="18"/>
  <c r="G8" i="18"/>
  <c r="D8" i="18"/>
  <c r="K8" i="18" s="1"/>
  <c r="C8" i="18"/>
  <c r="J8" i="18" s="1"/>
  <c r="C7" i="18"/>
  <c r="J7" i="18" s="1"/>
  <c r="L7" i="18" s="1"/>
  <c r="I6" i="18"/>
  <c r="G6" i="18"/>
  <c r="F6" i="18"/>
  <c r="D6" i="18"/>
  <c r="K6" i="18" s="1"/>
  <c r="C6" i="18"/>
  <c r="J6" i="18" s="1"/>
  <c r="I5" i="18"/>
  <c r="F5" i="18"/>
  <c r="H5" i="18" s="1"/>
  <c r="C5" i="18"/>
  <c r="J5" i="18" s="1"/>
  <c r="L5" i="18" s="1"/>
  <c r="I4" i="18"/>
  <c r="G4" i="18"/>
  <c r="F4" i="18"/>
  <c r="D4" i="18"/>
  <c r="K4" i="18" s="1"/>
  <c r="C4" i="18"/>
  <c r="B4" i="18"/>
  <c r="I3" i="18"/>
  <c r="G3" i="18"/>
  <c r="F3" i="18"/>
  <c r="D3" i="18"/>
  <c r="C3" i="18"/>
  <c r="B3" i="18"/>
  <c r="T27" i="17"/>
  <c r="V27" i="17" s="1"/>
  <c r="X27" i="17" s="1"/>
  <c r="O26" i="17"/>
  <c r="Q26" i="17" s="1"/>
  <c r="U26" i="17"/>
  <c r="W26" i="17" s="1"/>
  <c r="T26" i="17"/>
  <c r="V26" i="17" s="1"/>
  <c r="E26" i="17"/>
  <c r="M15" i="1" s="1"/>
  <c r="F26" i="17"/>
  <c r="P15" i="1" s="1"/>
  <c r="J25" i="17"/>
  <c r="G25" i="17"/>
  <c r="F25" i="17"/>
  <c r="K24" i="17"/>
  <c r="L24" i="17" s="1"/>
  <c r="Y23" i="17"/>
  <c r="E23" i="17"/>
  <c r="B23" i="17" s="1"/>
  <c r="C23" i="17"/>
  <c r="Y22" i="17"/>
  <c r="I22" i="17"/>
  <c r="G22" i="17"/>
  <c r="F22" i="17"/>
  <c r="D22" i="17"/>
  <c r="K22" i="17" s="1"/>
  <c r="C22" i="17"/>
  <c r="J22" i="17" s="1"/>
  <c r="B22" i="17"/>
  <c r="T21" i="17"/>
  <c r="V21" i="17" s="1"/>
  <c r="X21" i="17" s="1"/>
  <c r="N21" i="17"/>
  <c r="P21" i="17" s="1"/>
  <c r="R21" i="17" s="1"/>
  <c r="U20" i="17"/>
  <c r="T20" i="17"/>
  <c r="V20" i="17" s="1"/>
  <c r="O20" i="17"/>
  <c r="Q20" i="17" s="1"/>
  <c r="N20" i="17"/>
  <c r="P20" i="17" s="1"/>
  <c r="E20" i="17"/>
  <c r="E15" i="1" s="1"/>
  <c r="F20" i="17"/>
  <c r="H15" i="1" s="1"/>
  <c r="G19" i="17"/>
  <c r="F19" i="17"/>
  <c r="G18" i="17"/>
  <c r="H18" i="17" s="1"/>
  <c r="Y17" i="17"/>
  <c r="E17" i="17"/>
  <c r="B17" i="17" s="1"/>
  <c r="Y16" i="17"/>
  <c r="I16" i="17"/>
  <c r="G16" i="17"/>
  <c r="F16" i="17"/>
  <c r="K16" i="17"/>
  <c r="J16" i="17"/>
  <c r="B16" i="17"/>
  <c r="D15" i="17"/>
  <c r="G15" i="17" s="1"/>
  <c r="C15" i="17"/>
  <c r="F15" i="17" s="1"/>
  <c r="B15" i="17"/>
  <c r="B14" i="17"/>
  <c r="L14" i="17" s="1"/>
  <c r="B13" i="17"/>
  <c r="L13" i="17" s="1"/>
  <c r="B12" i="17"/>
  <c r="H12" i="17" s="1"/>
  <c r="D11" i="17"/>
  <c r="K11" i="17" s="1"/>
  <c r="C11" i="17"/>
  <c r="J11" i="17" s="1"/>
  <c r="D10" i="17"/>
  <c r="G10" i="17" s="1"/>
  <c r="C10" i="17"/>
  <c r="J10" i="17" s="1"/>
  <c r="Z9" i="17"/>
  <c r="Y9" i="17" s="1"/>
  <c r="D9" i="17"/>
  <c r="K9" i="17" s="1"/>
  <c r="L9" i="17" s="1"/>
  <c r="I8" i="17"/>
  <c r="G8" i="17"/>
  <c r="D8" i="17"/>
  <c r="K8" i="17" s="1"/>
  <c r="C8" i="17"/>
  <c r="F8" i="17" s="1"/>
  <c r="C7" i="17"/>
  <c r="J7" i="17" s="1"/>
  <c r="L7" i="17" s="1"/>
  <c r="I6" i="17"/>
  <c r="G6" i="17"/>
  <c r="F6" i="17"/>
  <c r="D6" i="17"/>
  <c r="K6" i="17" s="1"/>
  <c r="C6" i="17"/>
  <c r="J6" i="17" s="1"/>
  <c r="I5" i="17"/>
  <c r="F5" i="17"/>
  <c r="H5" i="17" s="1"/>
  <c r="C5" i="17"/>
  <c r="J5" i="17" s="1"/>
  <c r="L5" i="17" s="1"/>
  <c r="I4" i="17"/>
  <c r="G4" i="17"/>
  <c r="F4" i="17"/>
  <c r="D4" i="17"/>
  <c r="C4" i="17"/>
  <c r="B4" i="17"/>
  <c r="I3" i="17"/>
  <c r="G3" i="17"/>
  <c r="F3" i="17"/>
  <c r="D3" i="17"/>
  <c r="C3" i="17"/>
  <c r="B3" i="17"/>
  <c r="V27" i="16"/>
  <c r="X27" i="16" s="1"/>
  <c r="P27" i="16"/>
  <c r="R27" i="16" s="1"/>
  <c r="W26" i="16"/>
  <c r="V26" i="16"/>
  <c r="E26" i="16"/>
  <c r="B26" i="16" s="1"/>
  <c r="M14" i="1" s="1"/>
  <c r="J26" i="16"/>
  <c r="G25" i="16"/>
  <c r="J25" i="16"/>
  <c r="K24" i="16"/>
  <c r="L24" i="16" s="1"/>
  <c r="Y23" i="16"/>
  <c r="E23" i="16"/>
  <c r="B23" i="16" s="1"/>
  <c r="C23" i="16"/>
  <c r="F23" i="16" s="1"/>
  <c r="Y22" i="16"/>
  <c r="I22" i="16"/>
  <c r="G22" i="16"/>
  <c r="F22" i="16"/>
  <c r="D22" i="16"/>
  <c r="K22" i="16" s="1"/>
  <c r="C22" i="16"/>
  <c r="J22" i="16" s="1"/>
  <c r="B22" i="16"/>
  <c r="V21" i="16"/>
  <c r="X21" i="16" s="1"/>
  <c r="P21" i="16"/>
  <c r="R21" i="16" s="1"/>
  <c r="W20" i="16"/>
  <c r="E20" i="16"/>
  <c r="B20" i="16" s="1"/>
  <c r="E14" i="1" s="1"/>
  <c r="J20" i="16"/>
  <c r="J19" i="16"/>
  <c r="G19" i="16"/>
  <c r="F19" i="16"/>
  <c r="D18" i="16"/>
  <c r="K18" i="16" s="1"/>
  <c r="L18" i="16" s="1"/>
  <c r="Y17" i="16"/>
  <c r="E17" i="16"/>
  <c r="B17" i="16" s="1"/>
  <c r="C17" i="16"/>
  <c r="J17" i="16" s="1"/>
  <c r="Y16" i="16"/>
  <c r="I16" i="16"/>
  <c r="G16" i="16"/>
  <c r="F16" i="16"/>
  <c r="J16" i="16"/>
  <c r="B16" i="16"/>
  <c r="D15" i="16"/>
  <c r="G15" i="16" s="1"/>
  <c r="C15" i="16"/>
  <c r="F15" i="16" s="1"/>
  <c r="B15" i="16"/>
  <c r="B14" i="16"/>
  <c r="L14" i="16" s="1"/>
  <c r="B13" i="16"/>
  <c r="L13" i="16" s="1"/>
  <c r="B12" i="16"/>
  <c r="L12" i="16" s="1"/>
  <c r="D11" i="16"/>
  <c r="K11" i="16" s="1"/>
  <c r="C11" i="16"/>
  <c r="F11" i="16" s="1"/>
  <c r="D10" i="16"/>
  <c r="K10" i="16" s="1"/>
  <c r="C10" i="16"/>
  <c r="F10" i="16" s="1"/>
  <c r="Z9" i="16"/>
  <c r="Y9" i="16" s="1"/>
  <c r="D9" i="16"/>
  <c r="G9" i="16" s="1"/>
  <c r="I8" i="16"/>
  <c r="G8" i="16"/>
  <c r="D8" i="16"/>
  <c r="K8" i="16" s="1"/>
  <c r="C8" i="16"/>
  <c r="J8" i="16" s="1"/>
  <c r="C7" i="16"/>
  <c r="J7" i="16" s="1"/>
  <c r="L7" i="16" s="1"/>
  <c r="I6" i="16"/>
  <c r="G6" i="16"/>
  <c r="F6" i="16"/>
  <c r="D6" i="16"/>
  <c r="K6" i="16" s="1"/>
  <c r="C6" i="16"/>
  <c r="J6" i="16" s="1"/>
  <c r="I5" i="16"/>
  <c r="F5" i="16"/>
  <c r="H5" i="16" s="1"/>
  <c r="C5" i="16"/>
  <c r="J5" i="16" s="1"/>
  <c r="L5" i="16" s="1"/>
  <c r="I4" i="16"/>
  <c r="G4" i="16"/>
  <c r="F4" i="16"/>
  <c r="D4" i="16"/>
  <c r="C4" i="16"/>
  <c r="J4" i="16" s="1"/>
  <c r="B4" i="16"/>
  <c r="I3" i="16"/>
  <c r="G3" i="16"/>
  <c r="F3" i="16"/>
  <c r="D3" i="16"/>
  <c r="C3" i="16"/>
  <c r="B3" i="16"/>
  <c r="T27" i="15"/>
  <c r="V27" i="15" s="1"/>
  <c r="X27" i="15" s="1"/>
  <c r="N27" i="15"/>
  <c r="P27" i="15" s="1"/>
  <c r="R27" i="15" s="1"/>
  <c r="U26" i="15"/>
  <c r="W26" i="15" s="1"/>
  <c r="T26" i="15"/>
  <c r="V26" i="15" s="1"/>
  <c r="O26" i="15"/>
  <c r="Q26" i="15" s="1"/>
  <c r="E26" i="15"/>
  <c r="B26" i="15" s="1"/>
  <c r="M13" i="1" s="1"/>
  <c r="J26" i="15"/>
  <c r="G25" i="15"/>
  <c r="C23" i="15"/>
  <c r="G24" i="15"/>
  <c r="H24" i="15" s="1"/>
  <c r="Y23" i="15"/>
  <c r="E23" i="15"/>
  <c r="B23" i="15" s="1"/>
  <c r="Y22" i="15"/>
  <c r="I22" i="15"/>
  <c r="G22" i="15"/>
  <c r="F22" i="15"/>
  <c r="D22" i="15"/>
  <c r="K22" i="15" s="1"/>
  <c r="C22" i="15"/>
  <c r="J22" i="15" s="1"/>
  <c r="B22" i="15"/>
  <c r="T21" i="15"/>
  <c r="V21" i="15" s="1"/>
  <c r="X21" i="15" s="1"/>
  <c r="N21" i="15"/>
  <c r="P21" i="15" s="1"/>
  <c r="R21" i="15" s="1"/>
  <c r="O20" i="15"/>
  <c r="Q20" i="15" s="1"/>
  <c r="U20" i="15"/>
  <c r="W20" i="15" s="1"/>
  <c r="T20" i="15"/>
  <c r="V20" i="15" s="1"/>
  <c r="N20" i="15"/>
  <c r="P20" i="15" s="1"/>
  <c r="E20" i="15"/>
  <c r="B20" i="15" s="1"/>
  <c r="E13" i="1" s="1"/>
  <c r="J20" i="15"/>
  <c r="G19" i="15"/>
  <c r="F19" i="15"/>
  <c r="K18" i="15"/>
  <c r="L18" i="15" s="1"/>
  <c r="Y17" i="15"/>
  <c r="E17" i="15"/>
  <c r="B17" i="15" s="1"/>
  <c r="Y16" i="15"/>
  <c r="I16" i="15"/>
  <c r="G16" i="15"/>
  <c r="F16" i="15"/>
  <c r="K16" i="15"/>
  <c r="J16" i="15"/>
  <c r="B16" i="15"/>
  <c r="D15" i="15"/>
  <c r="G15" i="15" s="1"/>
  <c r="C15" i="15"/>
  <c r="F15" i="15" s="1"/>
  <c r="B15" i="15"/>
  <c r="B14" i="15"/>
  <c r="L14" i="15" s="1"/>
  <c r="B13" i="15"/>
  <c r="L13" i="15" s="1"/>
  <c r="B12" i="15"/>
  <c r="H12" i="15" s="1"/>
  <c r="D11" i="15"/>
  <c r="G11" i="15" s="1"/>
  <c r="C11" i="15"/>
  <c r="J11" i="15" s="1"/>
  <c r="D10" i="15"/>
  <c r="K10" i="15" s="1"/>
  <c r="C10" i="15"/>
  <c r="J10" i="15" s="1"/>
  <c r="Z9" i="15"/>
  <c r="Y9" i="15" s="1"/>
  <c r="D9" i="15"/>
  <c r="K9" i="15" s="1"/>
  <c r="L9" i="15" s="1"/>
  <c r="I8" i="15"/>
  <c r="G8" i="15"/>
  <c r="D8" i="15"/>
  <c r="K8" i="15" s="1"/>
  <c r="C8" i="15"/>
  <c r="F8" i="15" s="1"/>
  <c r="C7" i="15"/>
  <c r="F7" i="15" s="1"/>
  <c r="H7" i="15" s="1"/>
  <c r="I6" i="15"/>
  <c r="G6" i="15"/>
  <c r="F6" i="15"/>
  <c r="D6" i="15"/>
  <c r="K6" i="15" s="1"/>
  <c r="C6" i="15"/>
  <c r="J6" i="15" s="1"/>
  <c r="I5" i="15"/>
  <c r="F5" i="15"/>
  <c r="H5" i="15" s="1"/>
  <c r="C5" i="15"/>
  <c r="J5" i="15" s="1"/>
  <c r="L5" i="15" s="1"/>
  <c r="I4" i="15"/>
  <c r="G4" i="15"/>
  <c r="F4" i="15"/>
  <c r="D4" i="15"/>
  <c r="K4" i="15" s="1"/>
  <c r="C4" i="15"/>
  <c r="J4" i="15" s="1"/>
  <c r="B4" i="15"/>
  <c r="I3" i="15"/>
  <c r="AU13" i="1" s="1"/>
  <c r="G3" i="15"/>
  <c r="F3" i="15"/>
  <c r="D3" i="15"/>
  <c r="C3" i="15"/>
  <c r="B3" i="15"/>
  <c r="T27" i="14"/>
  <c r="V27" i="14" s="1"/>
  <c r="X27" i="14" s="1"/>
  <c r="N27" i="14"/>
  <c r="P27" i="14" s="1"/>
  <c r="R27" i="14" s="1"/>
  <c r="U26" i="14"/>
  <c r="W26" i="14" s="1"/>
  <c r="T26" i="14"/>
  <c r="V26" i="14" s="1"/>
  <c r="E26" i="14"/>
  <c r="B26" i="14" s="1"/>
  <c r="M12" i="1" s="1"/>
  <c r="F26" i="14"/>
  <c r="P12" i="1" s="1"/>
  <c r="G25" i="14"/>
  <c r="C23" i="14"/>
  <c r="K24" i="14"/>
  <c r="L24" i="14" s="1"/>
  <c r="Y23" i="14"/>
  <c r="E23" i="14"/>
  <c r="B23" i="14" s="1"/>
  <c r="Y22" i="14"/>
  <c r="I22" i="14"/>
  <c r="G22" i="14"/>
  <c r="F22" i="14"/>
  <c r="D22" i="14"/>
  <c r="K22" i="14" s="1"/>
  <c r="C22" i="14"/>
  <c r="J22" i="14" s="1"/>
  <c r="B22" i="14"/>
  <c r="T21" i="14"/>
  <c r="V21" i="14" s="1"/>
  <c r="X21" i="14" s="1"/>
  <c r="O20" i="14"/>
  <c r="Q20" i="14" s="1"/>
  <c r="U20" i="14"/>
  <c r="W20" i="14" s="1"/>
  <c r="T20" i="14"/>
  <c r="V20" i="14" s="1"/>
  <c r="N20" i="14"/>
  <c r="P20" i="14" s="1"/>
  <c r="E20" i="14"/>
  <c r="B20" i="14" s="1"/>
  <c r="E12" i="1" s="1"/>
  <c r="F20" i="14"/>
  <c r="H12" i="1" s="1"/>
  <c r="K19" i="14"/>
  <c r="G19" i="14"/>
  <c r="F19" i="14"/>
  <c r="G18" i="14"/>
  <c r="H18" i="14" s="1"/>
  <c r="Y17" i="14"/>
  <c r="E17" i="14"/>
  <c r="B17" i="14" s="1"/>
  <c r="C17" i="14"/>
  <c r="F17" i="14" s="1"/>
  <c r="Y16" i="14"/>
  <c r="I16" i="14"/>
  <c r="G16" i="14"/>
  <c r="F16" i="14"/>
  <c r="K16" i="14"/>
  <c r="J16" i="14"/>
  <c r="B16" i="14"/>
  <c r="D15" i="14"/>
  <c r="G15" i="14" s="1"/>
  <c r="C15" i="14"/>
  <c r="F15" i="14" s="1"/>
  <c r="B15" i="14"/>
  <c r="B14" i="14"/>
  <c r="L14" i="14" s="1"/>
  <c r="B13" i="14"/>
  <c r="L13" i="14" s="1"/>
  <c r="B12" i="14"/>
  <c r="H12" i="14" s="1"/>
  <c r="D11" i="14"/>
  <c r="K11" i="14" s="1"/>
  <c r="C11" i="14"/>
  <c r="J11" i="14" s="1"/>
  <c r="D10" i="14"/>
  <c r="K10" i="14" s="1"/>
  <c r="C10" i="14"/>
  <c r="J10" i="14" s="1"/>
  <c r="Z9" i="14"/>
  <c r="Y9" i="14" s="1"/>
  <c r="D9" i="14"/>
  <c r="K9" i="14" s="1"/>
  <c r="L9" i="14" s="1"/>
  <c r="I8" i="14"/>
  <c r="G8" i="14"/>
  <c r="D8" i="14"/>
  <c r="K8" i="14" s="1"/>
  <c r="C8" i="14"/>
  <c r="F8" i="14" s="1"/>
  <c r="C7" i="14"/>
  <c r="F7" i="14" s="1"/>
  <c r="H7" i="14" s="1"/>
  <c r="I6" i="14"/>
  <c r="G6" i="14"/>
  <c r="F6" i="14"/>
  <c r="D6" i="14"/>
  <c r="K6" i="14" s="1"/>
  <c r="C6" i="14"/>
  <c r="J6" i="14" s="1"/>
  <c r="I5" i="14"/>
  <c r="F5" i="14"/>
  <c r="H5" i="14" s="1"/>
  <c r="C5" i="14"/>
  <c r="J5" i="14" s="1"/>
  <c r="L5" i="14" s="1"/>
  <c r="I4" i="14"/>
  <c r="G4" i="14"/>
  <c r="F4" i="14"/>
  <c r="D4" i="14"/>
  <c r="K4" i="14" s="1"/>
  <c r="C4" i="14"/>
  <c r="B4" i="14"/>
  <c r="I3" i="14"/>
  <c r="G3" i="14"/>
  <c r="F3" i="14"/>
  <c r="D3" i="14"/>
  <c r="C3" i="14"/>
  <c r="B3" i="14"/>
  <c r="V27" i="13"/>
  <c r="X27" i="13" s="1"/>
  <c r="P27" i="13"/>
  <c r="R27" i="13" s="1"/>
  <c r="W26" i="13"/>
  <c r="V26" i="13"/>
  <c r="M11" i="1"/>
  <c r="J26" i="13"/>
  <c r="K25" i="13"/>
  <c r="G25" i="13"/>
  <c r="F25" i="13"/>
  <c r="J25" i="13"/>
  <c r="G24" i="13"/>
  <c r="H24" i="13" s="1"/>
  <c r="K24" i="13"/>
  <c r="L24" i="13" s="1"/>
  <c r="D23" i="13"/>
  <c r="B23" i="13"/>
  <c r="K22" i="13"/>
  <c r="H22" i="13"/>
  <c r="J22" i="13"/>
  <c r="V21" i="13"/>
  <c r="X21" i="13" s="1"/>
  <c r="P21" i="13"/>
  <c r="R21" i="13" s="1"/>
  <c r="W20" i="13"/>
  <c r="V20" i="13"/>
  <c r="Q20" i="13"/>
  <c r="E11" i="1"/>
  <c r="J20" i="13"/>
  <c r="J19" i="13"/>
  <c r="G19" i="13"/>
  <c r="F19" i="13"/>
  <c r="G18" i="13"/>
  <c r="H18" i="13" s="1"/>
  <c r="K18" i="13"/>
  <c r="L18" i="13" s="1"/>
  <c r="D17" i="13"/>
  <c r="G17" i="13" s="1"/>
  <c r="B17" i="13"/>
  <c r="H16" i="13"/>
  <c r="K16" i="13"/>
  <c r="J16" i="13"/>
  <c r="J15" i="13"/>
  <c r="G15" i="13"/>
  <c r="F15" i="13"/>
  <c r="H14" i="13"/>
  <c r="L14" i="13"/>
  <c r="L13" i="13"/>
  <c r="L12" i="13"/>
  <c r="G11" i="13"/>
  <c r="K11" i="13"/>
  <c r="F11" i="13"/>
  <c r="G10" i="13"/>
  <c r="K10" i="13"/>
  <c r="F10" i="13"/>
  <c r="Y9" i="13"/>
  <c r="G9" i="13"/>
  <c r="K8" i="13"/>
  <c r="J8" i="13"/>
  <c r="J7" i="13"/>
  <c r="L7" i="13" s="1"/>
  <c r="H6" i="13"/>
  <c r="K6" i="13"/>
  <c r="J6" i="13"/>
  <c r="H5" i="13"/>
  <c r="J5" i="13"/>
  <c r="L5" i="13" s="1"/>
  <c r="H4" i="13"/>
  <c r="T27" i="12"/>
  <c r="V27" i="12" s="1"/>
  <c r="X27" i="12" s="1"/>
  <c r="O26" i="12"/>
  <c r="Q26" i="12" s="1"/>
  <c r="U26" i="12"/>
  <c r="W26" i="12" s="1"/>
  <c r="T26" i="12"/>
  <c r="V26" i="12" s="1"/>
  <c r="E26" i="12"/>
  <c r="B26" i="12" s="1"/>
  <c r="M9" i="1" s="1"/>
  <c r="J26" i="12"/>
  <c r="J25" i="12"/>
  <c r="G24" i="12"/>
  <c r="H24" i="12" s="1"/>
  <c r="Y23" i="12"/>
  <c r="E23" i="12"/>
  <c r="B23" i="12" s="1"/>
  <c r="Y22" i="12"/>
  <c r="I22" i="12"/>
  <c r="G22" i="12"/>
  <c r="F22" i="12"/>
  <c r="D22" i="12"/>
  <c r="K22" i="12" s="1"/>
  <c r="C22" i="12"/>
  <c r="J22" i="12" s="1"/>
  <c r="B22" i="12"/>
  <c r="T21" i="12"/>
  <c r="V21" i="12" s="1"/>
  <c r="X21" i="12" s="1"/>
  <c r="O20" i="12"/>
  <c r="Q20" i="12" s="1"/>
  <c r="U20" i="12"/>
  <c r="W20" i="12" s="1"/>
  <c r="T20" i="12"/>
  <c r="V20" i="12" s="1"/>
  <c r="F20" i="12"/>
  <c r="H9" i="1" s="1"/>
  <c r="E20" i="12"/>
  <c r="B20" i="12" s="1"/>
  <c r="E9" i="1" s="1"/>
  <c r="J20" i="12"/>
  <c r="K19" i="12"/>
  <c r="G19" i="12"/>
  <c r="G18" i="12"/>
  <c r="H18" i="12" s="1"/>
  <c r="K18" i="12"/>
  <c r="L18" i="12" s="1"/>
  <c r="Y17" i="12"/>
  <c r="E17" i="12"/>
  <c r="B17" i="12" s="1"/>
  <c r="C17" i="12"/>
  <c r="F17" i="12" s="1"/>
  <c r="Y16" i="12"/>
  <c r="K16" i="12"/>
  <c r="I16" i="12"/>
  <c r="G16" i="12"/>
  <c r="F16" i="12"/>
  <c r="J16" i="12"/>
  <c r="B16" i="12"/>
  <c r="D15" i="12"/>
  <c r="K15" i="12" s="1"/>
  <c r="C15" i="12"/>
  <c r="B15" i="12"/>
  <c r="B14" i="12"/>
  <c r="B13" i="12"/>
  <c r="L13" i="12" s="1"/>
  <c r="B12" i="12"/>
  <c r="L12" i="12" s="1"/>
  <c r="D11" i="12"/>
  <c r="G11" i="12" s="1"/>
  <c r="C11" i="12"/>
  <c r="J11" i="12" s="1"/>
  <c r="D10" i="12"/>
  <c r="G10" i="12" s="1"/>
  <c r="C10" i="12"/>
  <c r="J10" i="12" s="1"/>
  <c r="Z9" i="12"/>
  <c r="Y9" i="12" s="1"/>
  <c r="D9" i="12"/>
  <c r="K9" i="12" s="1"/>
  <c r="L9" i="12" s="1"/>
  <c r="I8" i="12"/>
  <c r="G8" i="12"/>
  <c r="D8" i="12"/>
  <c r="K8" i="12" s="1"/>
  <c r="C8" i="12"/>
  <c r="F8" i="12" s="1"/>
  <c r="C7" i="12"/>
  <c r="F7" i="12" s="1"/>
  <c r="H7" i="12" s="1"/>
  <c r="I6" i="12"/>
  <c r="G6" i="12"/>
  <c r="F6" i="12"/>
  <c r="D6" i="12"/>
  <c r="K6" i="12" s="1"/>
  <c r="C6" i="12"/>
  <c r="J6" i="12" s="1"/>
  <c r="I5" i="12"/>
  <c r="F5" i="12"/>
  <c r="H5" i="12" s="1"/>
  <c r="C5" i="12"/>
  <c r="J5" i="12" s="1"/>
  <c r="L5" i="12" s="1"/>
  <c r="I4" i="12"/>
  <c r="G4" i="12"/>
  <c r="F4" i="12"/>
  <c r="D4" i="12"/>
  <c r="K4" i="12" s="1"/>
  <c r="C4" i="12"/>
  <c r="J4" i="12" s="1"/>
  <c r="B4" i="12"/>
  <c r="I3" i="12"/>
  <c r="G3" i="12"/>
  <c r="F3" i="12"/>
  <c r="D3" i="12"/>
  <c r="C3" i="12"/>
  <c r="J3" i="12" s="1"/>
  <c r="B3" i="12"/>
  <c r="T27" i="11"/>
  <c r="V27" i="11" s="1"/>
  <c r="X27" i="11" s="1"/>
  <c r="N27" i="11"/>
  <c r="P27" i="11" s="1"/>
  <c r="R27" i="11" s="1"/>
  <c r="U26" i="11"/>
  <c r="W26" i="11" s="1"/>
  <c r="T26" i="11"/>
  <c r="V26" i="11" s="1"/>
  <c r="E26" i="11"/>
  <c r="B26" i="11" s="1"/>
  <c r="M8" i="1" s="1"/>
  <c r="J26" i="11"/>
  <c r="J25" i="11"/>
  <c r="G25" i="11"/>
  <c r="C23" i="11"/>
  <c r="G24" i="11"/>
  <c r="H24" i="11" s="1"/>
  <c r="Y23" i="11"/>
  <c r="E23" i="11"/>
  <c r="B23" i="11" s="1"/>
  <c r="Y22" i="11"/>
  <c r="I22" i="11"/>
  <c r="G22" i="11"/>
  <c r="F22" i="11"/>
  <c r="D22" i="11"/>
  <c r="K22" i="11" s="1"/>
  <c r="C22" i="11"/>
  <c r="J22" i="11" s="1"/>
  <c r="B22" i="11"/>
  <c r="T21" i="11"/>
  <c r="V21" i="11" s="1"/>
  <c r="X21" i="11" s="1"/>
  <c r="O20" i="11"/>
  <c r="U20" i="11"/>
  <c r="W20" i="11" s="1"/>
  <c r="T20" i="11"/>
  <c r="V20" i="11" s="1"/>
  <c r="E20" i="11"/>
  <c r="B20" i="11" s="1"/>
  <c r="E8" i="1" s="1"/>
  <c r="J20" i="11"/>
  <c r="K19" i="11"/>
  <c r="F19" i="11"/>
  <c r="G18" i="11"/>
  <c r="H18" i="11" s="1"/>
  <c r="K18" i="11"/>
  <c r="L18" i="11" s="1"/>
  <c r="Y17" i="11"/>
  <c r="E17" i="11"/>
  <c r="B17" i="11" s="1"/>
  <c r="C17" i="11"/>
  <c r="J17" i="11" s="1"/>
  <c r="Y16" i="11"/>
  <c r="AO8" i="1" s="1"/>
  <c r="AP8" i="1" s="1"/>
  <c r="K16" i="11"/>
  <c r="J16" i="11"/>
  <c r="I16" i="11"/>
  <c r="G16" i="11"/>
  <c r="F16" i="11"/>
  <c r="B16" i="11"/>
  <c r="D15" i="11"/>
  <c r="K15" i="11" s="1"/>
  <c r="C15" i="11"/>
  <c r="F15" i="11" s="1"/>
  <c r="B15" i="11"/>
  <c r="B14" i="11"/>
  <c r="L14" i="11" s="1"/>
  <c r="B13" i="11"/>
  <c r="H13" i="11" s="1"/>
  <c r="B12" i="11"/>
  <c r="L12" i="11" s="1"/>
  <c r="D11" i="11"/>
  <c r="G11" i="11" s="1"/>
  <c r="C11" i="11"/>
  <c r="J11" i="11" s="1"/>
  <c r="D10" i="11"/>
  <c r="G10" i="11" s="1"/>
  <c r="C10" i="11"/>
  <c r="J10" i="11" s="1"/>
  <c r="Z9" i="11"/>
  <c r="Y9" i="11" s="1"/>
  <c r="D9" i="11"/>
  <c r="K9" i="11" s="1"/>
  <c r="L9" i="11" s="1"/>
  <c r="I8" i="11"/>
  <c r="G8" i="11"/>
  <c r="D8" i="11"/>
  <c r="K8" i="11" s="1"/>
  <c r="C8" i="11"/>
  <c r="J8" i="11" s="1"/>
  <c r="C7" i="11"/>
  <c r="F7" i="11" s="1"/>
  <c r="H7" i="11" s="1"/>
  <c r="I6" i="11"/>
  <c r="G6" i="11"/>
  <c r="F6" i="11"/>
  <c r="D6" i="11"/>
  <c r="K6" i="11" s="1"/>
  <c r="C6" i="11"/>
  <c r="J6" i="11" s="1"/>
  <c r="I5" i="11"/>
  <c r="F5" i="11"/>
  <c r="H5" i="11" s="1"/>
  <c r="C5" i="11"/>
  <c r="J5" i="11" s="1"/>
  <c r="L5" i="11" s="1"/>
  <c r="I4" i="11"/>
  <c r="G4" i="11"/>
  <c r="F4" i="11"/>
  <c r="D4" i="11"/>
  <c r="K4" i="11" s="1"/>
  <c r="C4" i="11"/>
  <c r="J4" i="11" s="1"/>
  <c r="B4" i="11"/>
  <c r="I3" i="11"/>
  <c r="G3" i="11"/>
  <c r="F3" i="11"/>
  <c r="D3" i="11"/>
  <c r="C3" i="11"/>
  <c r="B3" i="11"/>
  <c r="V27" i="10"/>
  <c r="X27" i="10" s="1"/>
  <c r="W26" i="10"/>
  <c r="V26" i="10"/>
  <c r="E26" i="10"/>
  <c r="B26" i="10" s="1"/>
  <c r="M7" i="1" s="1"/>
  <c r="J26" i="10"/>
  <c r="G25" i="10"/>
  <c r="J25" i="10"/>
  <c r="K24" i="10"/>
  <c r="L24" i="10" s="1"/>
  <c r="G24" i="10"/>
  <c r="H24" i="10" s="1"/>
  <c r="Y23" i="10"/>
  <c r="E23" i="10"/>
  <c r="B23" i="10" s="1"/>
  <c r="Y22" i="10"/>
  <c r="I22" i="10"/>
  <c r="G22" i="10"/>
  <c r="F22" i="10"/>
  <c r="D22" i="10"/>
  <c r="K22" i="10" s="1"/>
  <c r="C22" i="10"/>
  <c r="J22" i="10" s="1"/>
  <c r="B22" i="10"/>
  <c r="V21" i="10"/>
  <c r="X21" i="10" s="1"/>
  <c r="P21" i="10"/>
  <c r="R21" i="10" s="1"/>
  <c r="W20" i="10"/>
  <c r="V20" i="10"/>
  <c r="E20" i="10"/>
  <c r="B20" i="10" s="1"/>
  <c r="E7" i="1" s="1"/>
  <c r="J20" i="10"/>
  <c r="F19" i="10"/>
  <c r="G19" i="10"/>
  <c r="J19" i="10"/>
  <c r="K18" i="10"/>
  <c r="L18" i="10" s="1"/>
  <c r="D17" i="10"/>
  <c r="Y17" i="10"/>
  <c r="E17" i="10"/>
  <c r="B17" i="10" s="1"/>
  <c r="C17" i="10"/>
  <c r="Y16" i="10"/>
  <c r="I16" i="10"/>
  <c r="G16" i="10"/>
  <c r="F16" i="10"/>
  <c r="K16" i="10"/>
  <c r="J16" i="10"/>
  <c r="B16" i="10"/>
  <c r="D15" i="10"/>
  <c r="C15" i="10"/>
  <c r="F15" i="10" s="1"/>
  <c r="B15" i="10"/>
  <c r="B14" i="10"/>
  <c r="L14" i="10" s="1"/>
  <c r="B13" i="10"/>
  <c r="B12" i="10"/>
  <c r="L12" i="10" s="1"/>
  <c r="D11" i="10"/>
  <c r="K11" i="10" s="1"/>
  <c r="C11" i="10"/>
  <c r="F11" i="10" s="1"/>
  <c r="D10" i="10"/>
  <c r="K10" i="10" s="1"/>
  <c r="C10" i="10"/>
  <c r="F10" i="10" s="1"/>
  <c r="Z9" i="10"/>
  <c r="Y9" i="10" s="1"/>
  <c r="D9" i="10"/>
  <c r="G9" i="10" s="1"/>
  <c r="I8" i="10"/>
  <c r="G8" i="10"/>
  <c r="D8" i="10"/>
  <c r="K8" i="10" s="1"/>
  <c r="C8" i="10"/>
  <c r="J8" i="10" s="1"/>
  <c r="C7" i="10"/>
  <c r="I6" i="10"/>
  <c r="G6" i="10"/>
  <c r="F6" i="10"/>
  <c r="D6" i="10"/>
  <c r="K6" i="10" s="1"/>
  <c r="C6" i="10"/>
  <c r="J6" i="10" s="1"/>
  <c r="I5" i="10"/>
  <c r="F5" i="10"/>
  <c r="H5" i="10" s="1"/>
  <c r="C5" i="10"/>
  <c r="J5" i="10" s="1"/>
  <c r="L5" i="10" s="1"/>
  <c r="I4" i="10"/>
  <c r="G4" i="10"/>
  <c r="F4" i="10"/>
  <c r="D4" i="10"/>
  <c r="C4" i="10"/>
  <c r="B4" i="10"/>
  <c r="I3" i="10"/>
  <c r="AU7" i="1" s="1"/>
  <c r="G3" i="10"/>
  <c r="F3" i="10"/>
  <c r="D3" i="10"/>
  <c r="C3" i="10"/>
  <c r="B3" i="10"/>
  <c r="V27" i="9"/>
  <c r="X27" i="9" s="1"/>
  <c r="P27" i="9"/>
  <c r="R27" i="9" s="1"/>
  <c r="Q26" i="9"/>
  <c r="W26" i="9"/>
  <c r="V26" i="9"/>
  <c r="E26" i="9"/>
  <c r="B26" i="9" s="1"/>
  <c r="M6" i="1" s="1"/>
  <c r="J26" i="9"/>
  <c r="K25" i="9"/>
  <c r="F25" i="9"/>
  <c r="D24" i="9"/>
  <c r="K24" i="9" s="1"/>
  <c r="L24" i="9" s="1"/>
  <c r="Y23" i="9"/>
  <c r="E23" i="9"/>
  <c r="B23" i="9" s="1"/>
  <c r="Y22" i="9"/>
  <c r="I22" i="9"/>
  <c r="G22" i="9"/>
  <c r="F22" i="9"/>
  <c r="D22" i="9"/>
  <c r="K22" i="9" s="1"/>
  <c r="C22" i="9"/>
  <c r="J22" i="9" s="1"/>
  <c r="B22" i="9"/>
  <c r="T21" i="9"/>
  <c r="V21" i="9" s="1"/>
  <c r="X21" i="9" s="1"/>
  <c r="N21" i="9"/>
  <c r="P21" i="9" s="1"/>
  <c r="R21" i="9" s="1"/>
  <c r="O20" i="9"/>
  <c r="Q20" i="9" s="1"/>
  <c r="U20" i="9"/>
  <c r="W20" i="9" s="1"/>
  <c r="T20" i="9"/>
  <c r="V20" i="9" s="1"/>
  <c r="N20" i="9"/>
  <c r="P20" i="9" s="1"/>
  <c r="E20" i="9"/>
  <c r="B20" i="9" s="1"/>
  <c r="E6" i="1" s="1"/>
  <c r="J20" i="9"/>
  <c r="K19" i="9"/>
  <c r="J19" i="9"/>
  <c r="D18" i="9"/>
  <c r="G18" i="9" s="1"/>
  <c r="H18" i="9" s="1"/>
  <c r="Y17" i="9"/>
  <c r="E17" i="9"/>
  <c r="B17" i="9" s="1"/>
  <c r="Y16" i="9"/>
  <c r="I16" i="9"/>
  <c r="G16" i="9"/>
  <c r="F16" i="9"/>
  <c r="K16" i="9"/>
  <c r="J16" i="9"/>
  <c r="B16" i="9"/>
  <c r="D15" i="9"/>
  <c r="K15" i="9" s="1"/>
  <c r="C15" i="9"/>
  <c r="J15" i="9" s="1"/>
  <c r="B15" i="9"/>
  <c r="B14" i="9"/>
  <c r="H14" i="9" s="1"/>
  <c r="B13" i="9"/>
  <c r="L13" i="9" s="1"/>
  <c r="B12" i="9"/>
  <c r="H12" i="9" s="1"/>
  <c r="D11" i="9"/>
  <c r="G11" i="9" s="1"/>
  <c r="C11" i="9"/>
  <c r="J11" i="9" s="1"/>
  <c r="D10" i="9"/>
  <c r="G10" i="9" s="1"/>
  <c r="C10" i="9"/>
  <c r="J10" i="9" s="1"/>
  <c r="Z9" i="9"/>
  <c r="Y9" i="9" s="1"/>
  <c r="D9" i="9"/>
  <c r="K9" i="9" s="1"/>
  <c r="L9" i="9" s="1"/>
  <c r="I8" i="9"/>
  <c r="G8" i="9"/>
  <c r="D8" i="9"/>
  <c r="K8" i="9" s="1"/>
  <c r="C8" i="9"/>
  <c r="J8" i="9" s="1"/>
  <c r="C7" i="9"/>
  <c r="F7" i="9" s="1"/>
  <c r="H7" i="9" s="1"/>
  <c r="I6" i="9"/>
  <c r="G6" i="9"/>
  <c r="F6" i="9"/>
  <c r="D6" i="9"/>
  <c r="K6" i="9" s="1"/>
  <c r="C6" i="9"/>
  <c r="J6" i="9" s="1"/>
  <c r="I5" i="9"/>
  <c r="F5" i="9"/>
  <c r="H5" i="9" s="1"/>
  <c r="C5" i="9"/>
  <c r="J5" i="9" s="1"/>
  <c r="L5" i="9" s="1"/>
  <c r="I4" i="9"/>
  <c r="G4" i="9"/>
  <c r="F4" i="9"/>
  <c r="D4" i="9"/>
  <c r="C4" i="9"/>
  <c r="J4" i="9" s="1"/>
  <c r="B4" i="9"/>
  <c r="I3" i="9"/>
  <c r="G3" i="9"/>
  <c r="F3" i="9"/>
  <c r="D3" i="9"/>
  <c r="C3" i="9"/>
  <c r="B3" i="9"/>
  <c r="V27" i="8"/>
  <c r="X27" i="8" s="1"/>
  <c r="Q26" i="8"/>
  <c r="W26" i="8"/>
  <c r="V26" i="8"/>
  <c r="F26" i="8"/>
  <c r="P5" i="1" s="1"/>
  <c r="E26" i="8"/>
  <c r="B26" i="8" s="1"/>
  <c r="M5" i="1" s="1"/>
  <c r="J26" i="8"/>
  <c r="J25" i="8"/>
  <c r="G25" i="8"/>
  <c r="F25" i="8"/>
  <c r="K24" i="8"/>
  <c r="L24" i="8" s="1"/>
  <c r="Y23" i="8"/>
  <c r="E23" i="8"/>
  <c r="B23" i="8" s="1"/>
  <c r="Y22" i="8"/>
  <c r="I22" i="8"/>
  <c r="G22" i="8"/>
  <c r="F22" i="8"/>
  <c r="D22" i="8"/>
  <c r="K22" i="8" s="1"/>
  <c r="C22" i="8"/>
  <c r="J22" i="8" s="1"/>
  <c r="B22" i="8"/>
  <c r="T21" i="8"/>
  <c r="V21" i="8" s="1"/>
  <c r="X21" i="8" s="1"/>
  <c r="O20" i="8"/>
  <c r="Q20" i="8" s="1"/>
  <c r="U20" i="8"/>
  <c r="W20" i="8" s="1"/>
  <c r="T20" i="8"/>
  <c r="V20" i="8" s="1"/>
  <c r="E20" i="8"/>
  <c r="B20" i="8" s="1"/>
  <c r="E5" i="1" s="1"/>
  <c r="J20" i="8"/>
  <c r="G19" i="8"/>
  <c r="F19" i="8"/>
  <c r="G18" i="8"/>
  <c r="H18" i="8" s="1"/>
  <c r="Y17" i="8"/>
  <c r="E17" i="8"/>
  <c r="B17" i="8" s="1"/>
  <c r="C17" i="8"/>
  <c r="F17" i="8" s="1"/>
  <c r="Y16" i="8"/>
  <c r="I16" i="8"/>
  <c r="G16" i="8"/>
  <c r="F16" i="8"/>
  <c r="K16" i="8"/>
  <c r="J16" i="8"/>
  <c r="B16" i="8"/>
  <c r="D15" i="8"/>
  <c r="K15" i="8" s="1"/>
  <c r="C15" i="8"/>
  <c r="F15" i="8" s="1"/>
  <c r="B15" i="8"/>
  <c r="B14" i="8"/>
  <c r="L14" i="8" s="1"/>
  <c r="B13" i="8"/>
  <c r="L13" i="8" s="1"/>
  <c r="B12" i="8"/>
  <c r="H12" i="8" s="1"/>
  <c r="D11" i="8"/>
  <c r="G11" i="8" s="1"/>
  <c r="C11" i="8"/>
  <c r="J11" i="8" s="1"/>
  <c r="D10" i="8"/>
  <c r="G10" i="8" s="1"/>
  <c r="C10" i="8"/>
  <c r="J10" i="8" s="1"/>
  <c r="Z9" i="8"/>
  <c r="Y9" i="8" s="1"/>
  <c r="D9" i="8"/>
  <c r="K9" i="8" s="1"/>
  <c r="L9" i="8" s="1"/>
  <c r="I8" i="8"/>
  <c r="G8" i="8"/>
  <c r="D8" i="8"/>
  <c r="K8" i="8" s="1"/>
  <c r="C8" i="8"/>
  <c r="J8" i="8" s="1"/>
  <c r="C7" i="8"/>
  <c r="F7" i="8" s="1"/>
  <c r="H7" i="8" s="1"/>
  <c r="I6" i="8"/>
  <c r="G6" i="8"/>
  <c r="F6" i="8"/>
  <c r="D6" i="8"/>
  <c r="K6" i="8" s="1"/>
  <c r="C6" i="8"/>
  <c r="J6" i="8" s="1"/>
  <c r="I5" i="8"/>
  <c r="F5" i="8"/>
  <c r="H5" i="8" s="1"/>
  <c r="C5" i="8"/>
  <c r="J5" i="8" s="1"/>
  <c r="L5" i="8" s="1"/>
  <c r="I4" i="8"/>
  <c r="G4" i="8"/>
  <c r="F4" i="8"/>
  <c r="D4" i="8"/>
  <c r="K4" i="8" s="1"/>
  <c r="C4" i="8"/>
  <c r="J4" i="8" s="1"/>
  <c r="B4" i="8"/>
  <c r="I3" i="8"/>
  <c r="AU5" i="1" s="1"/>
  <c r="G3" i="8"/>
  <c r="F3" i="8"/>
  <c r="D3" i="8"/>
  <c r="C3" i="8"/>
  <c r="B3" i="8"/>
  <c r="V27" i="4"/>
  <c r="X27" i="4" s="1"/>
  <c r="W26" i="4"/>
  <c r="V26" i="4"/>
  <c r="E26" i="4"/>
  <c r="B26" i="4" s="1"/>
  <c r="M10" i="1" s="1"/>
  <c r="C26" i="4"/>
  <c r="J26" i="4" s="1"/>
  <c r="Y25" i="4"/>
  <c r="D25" i="4"/>
  <c r="G25" i="4" s="1"/>
  <c r="C25" i="4"/>
  <c r="J25" i="4" s="1"/>
  <c r="B25" i="4"/>
  <c r="Y24" i="4"/>
  <c r="D24" i="4"/>
  <c r="G24" i="4" s="1"/>
  <c r="H24" i="4" s="1"/>
  <c r="Y23" i="4"/>
  <c r="E23" i="4"/>
  <c r="B23" i="4" s="1"/>
  <c r="Y22" i="4"/>
  <c r="I22" i="4"/>
  <c r="G22" i="4"/>
  <c r="F22" i="4"/>
  <c r="D22" i="4"/>
  <c r="K22" i="4" s="1"/>
  <c r="C22" i="4"/>
  <c r="J22" i="4" s="1"/>
  <c r="B22" i="4"/>
  <c r="V21" i="4"/>
  <c r="X21" i="4" s="1"/>
  <c r="P21" i="4"/>
  <c r="R21" i="4" s="1"/>
  <c r="W20" i="4"/>
  <c r="V20" i="4"/>
  <c r="E20" i="4"/>
  <c r="B20" i="4" s="1"/>
  <c r="E10" i="1" s="1"/>
  <c r="C20" i="4"/>
  <c r="J20" i="4" s="1"/>
  <c r="D19" i="4"/>
  <c r="K19" i="4" s="1"/>
  <c r="C19" i="4"/>
  <c r="F19" i="4" s="1"/>
  <c r="B19" i="4"/>
  <c r="D18" i="4"/>
  <c r="G18" i="4" s="1"/>
  <c r="H18" i="4" s="1"/>
  <c r="Y17" i="4"/>
  <c r="E17" i="4"/>
  <c r="B17" i="4" s="1"/>
  <c r="Y16" i="4"/>
  <c r="I16" i="4"/>
  <c r="G16" i="4"/>
  <c r="F16" i="4"/>
  <c r="K16" i="4"/>
  <c r="J16" i="4"/>
  <c r="B16" i="4"/>
  <c r="D15" i="4"/>
  <c r="K15" i="4" s="1"/>
  <c r="C15" i="4"/>
  <c r="F15" i="4" s="1"/>
  <c r="B15" i="4"/>
  <c r="B14" i="4"/>
  <c r="L14" i="4" s="1"/>
  <c r="B13" i="4"/>
  <c r="H13" i="4" s="1"/>
  <c r="B12" i="4"/>
  <c r="H12" i="4" s="1"/>
  <c r="D11" i="4"/>
  <c r="K11" i="4" s="1"/>
  <c r="C11" i="4"/>
  <c r="J11" i="4" s="1"/>
  <c r="D10" i="4"/>
  <c r="K10" i="4" s="1"/>
  <c r="C10" i="4"/>
  <c r="J10" i="4" s="1"/>
  <c r="Z9" i="4"/>
  <c r="Y9" i="4" s="1"/>
  <c r="D9" i="4"/>
  <c r="G9" i="4" s="1"/>
  <c r="I8" i="4"/>
  <c r="G8" i="4"/>
  <c r="D8" i="4"/>
  <c r="K8" i="4" s="1"/>
  <c r="C8" i="4"/>
  <c r="J8" i="4" s="1"/>
  <c r="C7" i="4"/>
  <c r="J7" i="4" s="1"/>
  <c r="L7" i="4" s="1"/>
  <c r="I6" i="4"/>
  <c r="G6" i="4"/>
  <c r="F6" i="4"/>
  <c r="D6" i="4"/>
  <c r="K6" i="4" s="1"/>
  <c r="C6" i="4"/>
  <c r="J6" i="4" s="1"/>
  <c r="I5" i="4"/>
  <c r="F5" i="4"/>
  <c r="H5" i="4" s="1"/>
  <c r="C5" i="4"/>
  <c r="J5" i="4" s="1"/>
  <c r="L5" i="4" s="1"/>
  <c r="I4" i="4"/>
  <c r="G4" i="4"/>
  <c r="F4" i="4"/>
  <c r="D4" i="4"/>
  <c r="K4" i="4" s="1"/>
  <c r="C4" i="4"/>
  <c r="J4" i="4" s="1"/>
  <c r="B4" i="4"/>
  <c r="I3" i="4"/>
  <c r="AU10" i="1" s="1"/>
  <c r="G3" i="4"/>
  <c r="F3" i="4"/>
  <c r="D3" i="4"/>
  <c r="C3" i="4"/>
  <c r="B3" i="4"/>
  <c r="AO7" i="1" l="1"/>
  <c r="AP7" i="1" s="1"/>
  <c r="J10" i="22"/>
  <c r="J13" i="1"/>
  <c r="R24" i="1"/>
  <c r="R30" i="1"/>
  <c r="AO32" i="1"/>
  <c r="AP32" i="1" s="1"/>
  <c r="J17" i="1"/>
  <c r="J34" i="1"/>
  <c r="AO13" i="1"/>
  <c r="AP13" i="1" s="1"/>
  <c r="Q33" i="1"/>
  <c r="AQ9" i="1"/>
  <c r="AO14" i="1"/>
  <c r="AP14" i="1" s="1"/>
  <c r="H14" i="19"/>
  <c r="AQ36" i="1"/>
  <c r="F7" i="29"/>
  <c r="H7" i="29" s="1"/>
  <c r="AO34" i="1"/>
  <c r="AP34" i="1" s="1"/>
  <c r="Y33" i="1"/>
  <c r="AK10" i="1"/>
  <c r="J4" i="32"/>
  <c r="K4" i="32"/>
  <c r="AU37" i="1"/>
  <c r="AB15" i="1"/>
  <c r="AO22" i="1"/>
  <c r="AP22" i="1" s="1"/>
  <c r="J10" i="26"/>
  <c r="H16" i="30"/>
  <c r="K11" i="25"/>
  <c r="L13" i="26"/>
  <c r="AK37" i="1"/>
  <c r="AO19" i="1"/>
  <c r="AP19" i="1" s="1"/>
  <c r="Y24" i="1"/>
  <c r="Y31" i="1"/>
  <c r="Y32" i="1"/>
  <c r="K38" i="1"/>
  <c r="AB35" i="1"/>
  <c r="AM21" i="1"/>
  <c r="AN21" i="1" s="1"/>
  <c r="AO21" i="1"/>
  <c r="AP21" i="1" s="1"/>
  <c r="AM9" i="1"/>
  <c r="AN9" i="1" s="1"/>
  <c r="AO9" i="1"/>
  <c r="AP9" i="1" s="1"/>
  <c r="H16" i="17"/>
  <c r="L8" i="20"/>
  <c r="H6" i="24"/>
  <c r="G15" i="24"/>
  <c r="AM31" i="1"/>
  <c r="AN31" i="1" s="1"/>
  <c r="AO31" i="1"/>
  <c r="AP31" i="1" s="1"/>
  <c r="AM33" i="1"/>
  <c r="AN33" i="1" s="1"/>
  <c r="AO33" i="1"/>
  <c r="AP33" i="1" s="1"/>
  <c r="AM10" i="1"/>
  <c r="AN10" i="1" s="1"/>
  <c r="AO10" i="1"/>
  <c r="AP10" i="1" s="1"/>
  <c r="AM5" i="1"/>
  <c r="AN5" i="1" s="1"/>
  <c r="AO5" i="1"/>
  <c r="AP5" i="1" s="1"/>
  <c r="AO25" i="1"/>
  <c r="AP25" i="1" s="1"/>
  <c r="AO29" i="1"/>
  <c r="AP29" i="1" s="1"/>
  <c r="AO26" i="1"/>
  <c r="AP26" i="1" s="1"/>
  <c r="AO6" i="1"/>
  <c r="AP6" i="1" s="1"/>
  <c r="AO27" i="1"/>
  <c r="AP27" i="1" s="1"/>
  <c r="AO28" i="1"/>
  <c r="AP28" i="1" s="1"/>
  <c r="J15" i="16"/>
  <c r="B26" i="20"/>
  <c r="M20" i="1" s="1"/>
  <c r="AO36" i="1"/>
  <c r="AP36" i="1" s="1"/>
  <c r="AM37" i="1"/>
  <c r="AN37" i="1" s="1"/>
  <c r="AO37" i="1"/>
  <c r="AP37" i="1" s="1"/>
  <c r="AM24" i="1"/>
  <c r="AN24" i="1" s="1"/>
  <c r="AO24" i="1"/>
  <c r="AP24" i="1" s="1"/>
  <c r="AS28" i="1"/>
  <c r="AT28" i="1" s="1"/>
  <c r="AS25" i="1"/>
  <c r="AT25" i="1" s="1"/>
  <c r="AS29" i="1"/>
  <c r="AT29" i="1" s="1"/>
  <c r="AS26" i="1"/>
  <c r="AT26" i="1" s="1"/>
  <c r="AS27" i="1"/>
  <c r="AT27" i="1" s="1"/>
  <c r="L13" i="11"/>
  <c r="Y8" i="1"/>
  <c r="AO12" i="1"/>
  <c r="AP12" i="1" s="1"/>
  <c r="AQ15" i="1"/>
  <c r="AO17" i="1"/>
  <c r="AP17" i="1" s="1"/>
  <c r="AQ19" i="1"/>
  <c r="H16" i="20"/>
  <c r="AM20" i="1"/>
  <c r="AN20" i="1" s="1"/>
  <c r="AO20" i="1"/>
  <c r="AP20" i="1" s="1"/>
  <c r="Y21" i="1"/>
  <c r="AQ22" i="1"/>
  <c r="H22" i="22"/>
  <c r="J7" i="25"/>
  <c r="L7" i="25" s="1"/>
  <c r="AM30" i="1"/>
  <c r="AN30" i="1" s="1"/>
  <c r="AO30" i="1"/>
  <c r="AP30" i="1" s="1"/>
  <c r="G9" i="29"/>
  <c r="W20" i="17"/>
  <c r="D15" i="1" s="1"/>
  <c r="AG15" i="1" s="1"/>
  <c r="AD23" i="17"/>
  <c r="Y15" i="1"/>
  <c r="D12" i="1"/>
  <c r="AG12" i="1" s="1"/>
  <c r="D8" i="1"/>
  <c r="AG8" i="1" s="1"/>
  <c r="C32" i="1"/>
  <c r="AF32" i="1" s="1"/>
  <c r="AG22" i="1"/>
  <c r="C24" i="1"/>
  <c r="AF24" i="1" s="1"/>
  <c r="C17" i="1"/>
  <c r="AF17" i="1" s="1"/>
  <c r="R11" i="1"/>
  <c r="J19" i="1"/>
  <c r="D21" i="1"/>
  <c r="AG21" i="1" s="1"/>
  <c r="J37" i="1"/>
  <c r="R21" i="1"/>
  <c r="D24" i="1"/>
  <c r="AG24" i="1" s="1"/>
  <c r="J36" i="1"/>
  <c r="Y12" i="1"/>
  <c r="Y11" i="1"/>
  <c r="AM15" i="1"/>
  <c r="AN15" i="1" s="1"/>
  <c r="AO15" i="1"/>
  <c r="K4" i="17"/>
  <c r="Y9" i="1"/>
  <c r="Y30" i="1"/>
  <c r="S38" i="1"/>
  <c r="Y36" i="1"/>
  <c r="AQ37" i="1"/>
  <c r="R36" i="1"/>
  <c r="AM35" i="1"/>
  <c r="AN35" i="1" s="1"/>
  <c r="D35" i="1"/>
  <c r="AG35" i="1" s="1"/>
  <c r="R35" i="1"/>
  <c r="AQ34" i="1"/>
  <c r="H6" i="28"/>
  <c r="H8" i="28"/>
  <c r="F10" i="28"/>
  <c r="AQ31" i="1"/>
  <c r="F8" i="25"/>
  <c r="H8" i="25" s="1"/>
  <c r="H6" i="25"/>
  <c r="AQ24" i="1"/>
  <c r="AM23" i="1"/>
  <c r="AN23" i="1" s="1"/>
  <c r="J23" i="1"/>
  <c r="R22" i="1"/>
  <c r="H12" i="21"/>
  <c r="R20" i="1"/>
  <c r="J15" i="19"/>
  <c r="AB19" i="1"/>
  <c r="Y17" i="1"/>
  <c r="L12" i="15"/>
  <c r="AM13" i="1"/>
  <c r="AN13" i="1" s="1"/>
  <c r="R12" i="1"/>
  <c r="R10" i="1"/>
  <c r="H6" i="11"/>
  <c r="D5" i="1"/>
  <c r="AG5" i="1" s="1"/>
  <c r="Y5" i="1"/>
  <c r="H6" i="8"/>
  <c r="J7" i="1"/>
  <c r="J8" i="1"/>
  <c r="R8" i="1"/>
  <c r="I13" i="1"/>
  <c r="I31" i="1"/>
  <c r="C33" i="1"/>
  <c r="AF33" i="1" s="1"/>
  <c r="R34" i="1"/>
  <c r="AD34" i="1" s="1"/>
  <c r="D6" i="1"/>
  <c r="AG6" i="1" s="1"/>
  <c r="T22" i="17"/>
  <c r="V22" i="17" s="1"/>
  <c r="D10" i="1"/>
  <c r="AG10" i="1" s="1"/>
  <c r="J11" i="1"/>
  <c r="U22" i="13"/>
  <c r="W22" i="13" s="1"/>
  <c r="J15" i="1"/>
  <c r="R17" i="1"/>
  <c r="AD17" i="1" s="1"/>
  <c r="C30" i="1"/>
  <c r="AF30" i="1" s="1"/>
  <c r="J33" i="1"/>
  <c r="D37" i="1"/>
  <c r="AG37" i="1" s="1"/>
  <c r="R37" i="1"/>
  <c r="J26" i="1"/>
  <c r="J5" i="1"/>
  <c r="J28" i="1"/>
  <c r="J25" i="1"/>
  <c r="J27" i="1"/>
  <c r="J29" i="1"/>
  <c r="J24" i="1"/>
  <c r="D7" i="1"/>
  <c r="AG7" i="1" s="1"/>
  <c r="J31" i="1"/>
  <c r="D9" i="1"/>
  <c r="AG9" i="1" s="1"/>
  <c r="J10" i="1"/>
  <c r="R28" i="1"/>
  <c r="R25" i="1"/>
  <c r="R29" i="1"/>
  <c r="R26" i="1"/>
  <c r="R5" i="1"/>
  <c r="R27" i="1"/>
  <c r="J6" i="1"/>
  <c r="R7" i="1"/>
  <c r="J9" i="1"/>
  <c r="R9" i="1"/>
  <c r="J12" i="1"/>
  <c r="R13" i="1"/>
  <c r="AD13" i="1" s="1"/>
  <c r="R15" i="1"/>
  <c r="D31" i="1"/>
  <c r="AG31" i="1" s="1"/>
  <c r="T16" i="27"/>
  <c r="V16" i="27" s="1"/>
  <c r="C34" i="1"/>
  <c r="AF34" i="1" s="1"/>
  <c r="J35" i="1"/>
  <c r="I36" i="1"/>
  <c r="D36" i="1"/>
  <c r="AG36" i="1" s="1"/>
  <c r="D19" i="1"/>
  <c r="AG19" i="1" s="1"/>
  <c r="C20" i="1"/>
  <c r="AF20" i="1" s="1"/>
  <c r="D23" i="1"/>
  <c r="AG23" i="1" s="1"/>
  <c r="R31" i="1"/>
  <c r="R6" i="1"/>
  <c r="D11" i="1"/>
  <c r="AG11" i="1" s="1"/>
  <c r="D13" i="1"/>
  <c r="AG13" i="1" s="1"/>
  <c r="D14" i="1"/>
  <c r="AG14" i="1" s="1"/>
  <c r="R14" i="1"/>
  <c r="I17" i="1"/>
  <c r="R19" i="1"/>
  <c r="C22" i="1"/>
  <c r="AF22" i="1" s="1"/>
  <c r="R23" i="1"/>
  <c r="Q36" i="1"/>
  <c r="Y37" i="1"/>
  <c r="AQ14" i="1"/>
  <c r="AU22" i="1"/>
  <c r="Q6" i="1"/>
  <c r="AQ7" i="1"/>
  <c r="AM7" i="1"/>
  <c r="AN7" i="1" s="1"/>
  <c r="C7" i="1"/>
  <c r="AF7" i="1" s="1"/>
  <c r="AU8" i="1"/>
  <c r="AM8" i="1"/>
  <c r="AN8" i="1" s="1"/>
  <c r="L6" i="12"/>
  <c r="AQ12" i="1"/>
  <c r="AM12" i="1"/>
  <c r="AN12" i="1" s="1"/>
  <c r="AB12" i="1"/>
  <c r="I15" i="1"/>
  <c r="AU17" i="1"/>
  <c r="C19" i="1"/>
  <c r="AF19" i="1" s="1"/>
  <c r="AU20" i="1"/>
  <c r="AU21" i="1"/>
  <c r="C21" i="1"/>
  <c r="AF21" i="1" s="1"/>
  <c r="Y22" i="1"/>
  <c r="AU24" i="1"/>
  <c r="AU30" i="1"/>
  <c r="G9" i="25"/>
  <c r="K10" i="25"/>
  <c r="L10" i="25" s="1"/>
  <c r="I30" i="1"/>
  <c r="AU33" i="1"/>
  <c r="H13" i="29"/>
  <c r="AM34" i="1"/>
  <c r="AN34" i="1" s="1"/>
  <c r="I34" i="1"/>
  <c r="Y35" i="1"/>
  <c r="AM36" i="1"/>
  <c r="AN36" i="1" s="1"/>
  <c r="AB36" i="1"/>
  <c r="C36" i="1"/>
  <c r="AF36" i="1" s="1"/>
  <c r="H9" i="22"/>
  <c r="B22" i="1"/>
  <c r="AE22" i="1" s="1"/>
  <c r="AQ23" i="1"/>
  <c r="AQ5" i="1"/>
  <c r="C5" i="1"/>
  <c r="AQ6" i="1"/>
  <c r="AM6" i="1"/>
  <c r="AN6" i="1" s="1"/>
  <c r="AU15" i="1"/>
  <c r="C15" i="1"/>
  <c r="AF15" i="1" s="1"/>
  <c r="AM17" i="1"/>
  <c r="AN17" i="1" s="1"/>
  <c r="F15" i="21"/>
  <c r="AU23" i="1"/>
  <c r="H9" i="23"/>
  <c r="B23" i="1"/>
  <c r="AE23" i="1" s="1"/>
  <c r="AU34" i="1"/>
  <c r="H9" i="29"/>
  <c r="B34" i="1"/>
  <c r="AE34" i="1" s="1"/>
  <c r="H20" i="23"/>
  <c r="E23" i="1"/>
  <c r="Y23" i="1" s="1"/>
  <c r="AQ10" i="1"/>
  <c r="Y10" i="1"/>
  <c r="AU9" i="1"/>
  <c r="H8" i="12"/>
  <c r="H9" i="13"/>
  <c r="B11" i="1"/>
  <c r="AE11" i="1" s="1"/>
  <c r="C13" i="1"/>
  <c r="AF13" i="1" s="1"/>
  <c r="AU14" i="1"/>
  <c r="H9" i="16"/>
  <c r="B14" i="1"/>
  <c r="AE14" i="1" s="1"/>
  <c r="AM14" i="1"/>
  <c r="AN14" i="1" s="1"/>
  <c r="H9" i="4"/>
  <c r="B10" i="1"/>
  <c r="AE10" i="1" s="1"/>
  <c r="I6" i="1"/>
  <c r="C6" i="1"/>
  <c r="AF6" i="1" s="1"/>
  <c r="AQ8" i="1"/>
  <c r="F8" i="11"/>
  <c r="C9" i="1"/>
  <c r="AF9" i="1" s="1"/>
  <c r="AU12" i="1"/>
  <c r="AQ13" i="1"/>
  <c r="Y13" i="1"/>
  <c r="K9" i="16"/>
  <c r="L9" i="16" s="1"/>
  <c r="G10" i="16"/>
  <c r="Y14" i="1"/>
  <c r="AQ17" i="1"/>
  <c r="AU19" i="1"/>
  <c r="AM19" i="1"/>
  <c r="AN19" i="1" s="1"/>
  <c r="Y19" i="1"/>
  <c r="AQ20" i="1"/>
  <c r="H22" i="20"/>
  <c r="AQ21" i="1"/>
  <c r="AM22" i="1"/>
  <c r="AN22" i="1" s="1"/>
  <c r="AQ30" i="1"/>
  <c r="L13" i="25"/>
  <c r="AB33" i="1"/>
  <c r="L14" i="29"/>
  <c r="K15" i="29"/>
  <c r="L15" i="29" s="1"/>
  <c r="Y34" i="1"/>
  <c r="L8" i="30"/>
  <c r="I18" i="1"/>
  <c r="AC18" i="1" s="1"/>
  <c r="AB30" i="1"/>
  <c r="AU31" i="1"/>
  <c r="C31" i="1"/>
  <c r="AF31" i="1" s="1"/>
  <c r="AM32" i="1"/>
  <c r="AN32" i="1" s="1"/>
  <c r="AQ33" i="1"/>
  <c r="AU36" i="1"/>
  <c r="H9" i="31"/>
  <c r="B36" i="1"/>
  <c r="AE36" i="1" s="1"/>
  <c r="T22" i="31"/>
  <c r="D34" i="1"/>
  <c r="AG34" i="1" s="1"/>
  <c r="J30" i="1"/>
  <c r="AD30" i="1" s="1"/>
  <c r="D30" i="1"/>
  <c r="AG30" i="1" s="1"/>
  <c r="R33" i="1"/>
  <c r="T16" i="29"/>
  <c r="V16" i="29" s="1"/>
  <c r="D33" i="1"/>
  <c r="AG33" i="1" s="1"/>
  <c r="AU32" i="1"/>
  <c r="L14" i="27"/>
  <c r="F15" i="27"/>
  <c r="AQ32" i="1"/>
  <c r="D32" i="1"/>
  <c r="AG32" i="1" s="1"/>
  <c r="R32" i="1"/>
  <c r="J32" i="1"/>
  <c r="D20" i="1"/>
  <c r="AG20" i="1" s="1"/>
  <c r="D17" i="1"/>
  <c r="AG17" i="1" s="1"/>
  <c r="Y7" i="1"/>
  <c r="Y6" i="1"/>
  <c r="AU6" i="1"/>
  <c r="H9" i="10"/>
  <c r="B7" i="1"/>
  <c r="AE7" i="1" s="1"/>
  <c r="T16" i="10"/>
  <c r="F8" i="18"/>
  <c r="H8" i="18" s="1"/>
  <c r="K15" i="14"/>
  <c r="H22" i="4"/>
  <c r="H6" i="10"/>
  <c r="L12" i="17"/>
  <c r="J15" i="10"/>
  <c r="J10" i="30"/>
  <c r="L10" i="30" s="1"/>
  <c r="H12" i="30"/>
  <c r="G11" i="29"/>
  <c r="H10" i="28"/>
  <c r="H12" i="28"/>
  <c r="H3" i="27"/>
  <c r="H6" i="26"/>
  <c r="F11" i="26"/>
  <c r="H11" i="26" s="1"/>
  <c r="H12" i="26"/>
  <c r="F26" i="26"/>
  <c r="P31" i="1" s="1"/>
  <c r="AB31" i="1" s="1"/>
  <c r="L26" i="25"/>
  <c r="J3" i="24"/>
  <c r="L26" i="24"/>
  <c r="H8" i="24"/>
  <c r="H13" i="24"/>
  <c r="H8" i="23"/>
  <c r="H6" i="23"/>
  <c r="H22" i="23"/>
  <c r="F26" i="22"/>
  <c r="P22" i="1" s="1"/>
  <c r="H6" i="22"/>
  <c r="L14" i="21"/>
  <c r="H6" i="21"/>
  <c r="J10" i="20"/>
  <c r="H4" i="19"/>
  <c r="G10" i="19"/>
  <c r="H12" i="19"/>
  <c r="H16" i="19"/>
  <c r="H14" i="18"/>
  <c r="H4" i="18"/>
  <c r="H6" i="18"/>
  <c r="J3" i="17"/>
  <c r="H8" i="17"/>
  <c r="H6" i="16"/>
  <c r="L8" i="16"/>
  <c r="H16" i="16"/>
  <c r="H13" i="15"/>
  <c r="H6" i="14"/>
  <c r="J7" i="14"/>
  <c r="L7" i="14" s="1"/>
  <c r="H26" i="14"/>
  <c r="J3" i="11"/>
  <c r="H12" i="11"/>
  <c r="H16" i="10"/>
  <c r="J7" i="9"/>
  <c r="L7" i="9" s="1"/>
  <c r="K10" i="9"/>
  <c r="L10" i="9" s="1"/>
  <c r="G15" i="8"/>
  <c r="H15" i="8" s="1"/>
  <c r="J7" i="8"/>
  <c r="L7" i="8" s="1"/>
  <c r="L12" i="8"/>
  <c r="H25" i="31"/>
  <c r="H8" i="32"/>
  <c r="J15" i="32"/>
  <c r="K9" i="31"/>
  <c r="L9" i="31" s="1"/>
  <c r="F15" i="31"/>
  <c r="H15" i="31" s="1"/>
  <c r="K15" i="31"/>
  <c r="L15" i="31" s="1"/>
  <c r="H6" i="31"/>
  <c r="J7" i="31"/>
  <c r="L7" i="31" s="1"/>
  <c r="H4" i="30"/>
  <c r="J11" i="30"/>
  <c r="F25" i="30"/>
  <c r="D23" i="30"/>
  <c r="G23" i="30" s="1"/>
  <c r="K3" i="29"/>
  <c r="F25" i="29"/>
  <c r="C23" i="29"/>
  <c r="F23" i="29" s="1"/>
  <c r="K10" i="28"/>
  <c r="L10" i="28" s="1"/>
  <c r="J11" i="28"/>
  <c r="F25" i="28"/>
  <c r="H25" i="28" s="1"/>
  <c r="J8" i="28"/>
  <c r="H22" i="28"/>
  <c r="J25" i="28"/>
  <c r="D17" i="28"/>
  <c r="K17" i="28" s="1"/>
  <c r="G18" i="28"/>
  <c r="H18" i="28" s="1"/>
  <c r="L8" i="27"/>
  <c r="F7" i="27"/>
  <c r="H7" i="27" s="1"/>
  <c r="G9" i="27"/>
  <c r="K15" i="27"/>
  <c r="L15" i="27" s="1"/>
  <c r="L6" i="26"/>
  <c r="J7" i="26"/>
  <c r="L7" i="26" s="1"/>
  <c r="K11" i="26"/>
  <c r="L11" i="26" s="1"/>
  <c r="G18" i="26"/>
  <c r="H18" i="26" s="1"/>
  <c r="H8" i="26"/>
  <c r="J8" i="26"/>
  <c r="J23" i="26"/>
  <c r="G9" i="26"/>
  <c r="J3" i="25"/>
  <c r="L11" i="25"/>
  <c r="C23" i="25"/>
  <c r="F23" i="25" s="1"/>
  <c r="J25" i="25"/>
  <c r="H25" i="25"/>
  <c r="L6" i="24"/>
  <c r="G9" i="24"/>
  <c r="H22" i="24"/>
  <c r="F26" i="24"/>
  <c r="P24" i="1" s="1"/>
  <c r="F10" i="24"/>
  <c r="J25" i="24"/>
  <c r="L13" i="23"/>
  <c r="L22" i="23"/>
  <c r="D23" i="23"/>
  <c r="U22" i="23" s="1"/>
  <c r="W22" i="23" s="1"/>
  <c r="G24" i="23"/>
  <c r="H24" i="23" s="1"/>
  <c r="K25" i="23"/>
  <c r="L25" i="23" s="1"/>
  <c r="F26" i="23"/>
  <c r="H14" i="23"/>
  <c r="G15" i="23"/>
  <c r="H15" i="23" s="1"/>
  <c r="L6" i="22"/>
  <c r="H10" i="22"/>
  <c r="G15" i="22"/>
  <c r="H15" i="22" s="1"/>
  <c r="H16" i="22"/>
  <c r="G18" i="22"/>
  <c r="H18" i="22" s="1"/>
  <c r="F20" i="22"/>
  <c r="L22" i="22"/>
  <c r="J11" i="22"/>
  <c r="K25" i="32"/>
  <c r="L11" i="4"/>
  <c r="D23" i="21"/>
  <c r="G23" i="21" s="1"/>
  <c r="G24" i="21"/>
  <c r="H24" i="21" s="1"/>
  <c r="H22" i="21"/>
  <c r="L13" i="20"/>
  <c r="F20" i="20"/>
  <c r="H20" i="1" s="1"/>
  <c r="AB20" i="1" s="1"/>
  <c r="H3" i="20"/>
  <c r="K3" i="19"/>
  <c r="H8" i="19"/>
  <c r="F10" i="19"/>
  <c r="H10" i="19" s="1"/>
  <c r="F11" i="19"/>
  <c r="L10" i="18"/>
  <c r="H12" i="18"/>
  <c r="H16" i="18"/>
  <c r="H22" i="18"/>
  <c r="K25" i="18"/>
  <c r="F10" i="18"/>
  <c r="G11" i="18"/>
  <c r="H11" i="18" s="1"/>
  <c r="G10" i="18"/>
  <c r="J15" i="18"/>
  <c r="H20" i="17"/>
  <c r="G11" i="17"/>
  <c r="H6" i="17"/>
  <c r="G9" i="17"/>
  <c r="K10" i="17"/>
  <c r="L10" i="17" s="1"/>
  <c r="J23" i="17"/>
  <c r="L6" i="17"/>
  <c r="L11" i="17"/>
  <c r="H13" i="16"/>
  <c r="K25" i="16"/>
  <c r="H10" i="16"/>
  <c r="H4" i="16"/>
  <c r="H14" i="16"/>
  <c r="L20" i="15"/>
  <c r="H6" i="15"/>
  <c r="J7" i="15"/>
  <c r="L7" i="15" s="1"/>
  <c r="J8" i="15"/>
  <c r="L8" i="15" s="1"/>
  <c r="H20" i="14"/>
  <c r="L6" i="14"/>
  <c r="H8" i="14"/>
  <c r="G10" i="14"/>
  <c r="F11" i="14"/>
  <c r="L12" i="14"/>
  <c r="G11" i="14"/>
  <c r="K3" i="14"/>
  <c r="L10" i="14"/>
  <c r="L11" i="14"/>
  <c r="L22" i="14"/>
  <c r="F10" i="12"/>
  <c r="H10" i="12" s="1"/>
  <c r="J7" i="12"/>
  <c r="L7" i="12" s="1"/>
  <c r="H13" i="12"/>
  <c r="L26" i="12"/>
  <c r="H22" i="12"/>
  <c r="F26" i="12"/>
  <c r="P9" i="1" s="1"/>
  <c r="AB9" i="1" s="1"/>
  <c r="G9" i="12"/>
  <c r="G11" i="10"/>
  <c r="H14" i="10"/>
  <c r="J10" i="10"/>
  <c r="L10" i="10" s="1"/>
  <c r="H4" i="10"/>
  <c r="G15" i="11"/>
  <c r="L20" i="11"/>
  <c r="H22" i="11"/>
  <c r="F26" i="11"/>
  <c r="L6" i="11"/>
  <c r="J7" i="11"/>
  <c r="L7" i="11" s="1"/>
  <c r="G9" i="11"/>
  <c r="H19" i="31"/>
  <c r="L19" i="29"/>
  <c r="H19" i="22"/>
  <c r="F17" i="16"/>
  <c r="L16" i="10"/>
  <c r="L16" i="13"/>
  <c r="G25" i="9"/>
  <c r="H25" i="9" s="1"/>
  <c r="G9" i="9"/>
  <c r="H13" i="9"/>
  <c r="K11" i="9"/>
  <c r="L11" i="9" s="1"/>
  <c r="F19" i="9"/>
  <c r="C23" i="9"/>
  <c r="T22" i="9" s="1"/>
  <c r="L16" i="9"/>
  <c r="C17" i="9"/>
  <c r="F17" i="9" s="1"/>
  <c r="K19" i="8"/>
  <c r="H6" i="4"/>
  <c r="G19" i="4"/>
  <c r="H19" i="4" s="1"/>
  <c r="K24" i="4"/>
  <c r="L24" i="4" s="1"/>
  <c r="L13" i="4"/>
  <c r="D23" i="4"/>
  <c r="K23" i="4" s="1"/>
  <c r="L10" i="4"/>
  <c r="H14" i="4"/>
  <c r="G15" i="4"/>
  <c r="K25" i="4"/>
  <c r="L25" i="4" s="1"/>
  <c r="J8" i="32"/>
  <c r="F11" i="32"/>
  <c r="C17" i="32"/>
  <c r="J17" i="32" s="1"/>
  <c r="F10" i="32"/>
  <c r="J3" i="32"/>
  <c r="G10" i="32"/>
  <c r="G18" i="32"/>
  <c r="H18" i="32" s="1"/>
  <c r="J19" i="32"/>
  <c r="H22" i="32"/>
  <c r="F25" i="32"/>
  <c r="H25" i="32" s="1"/>
  <c r="H16" i="32"/>
  <c r="H3" i="31"/>
  <c r="L10" i="31"/>
  <c r="L11" i="31"/>
  <c r="L14" i="31"/>
  <c r="K3" i="31"/>
  <c r="L8" i="31"/>
  <c r="G10" i="31"/>
  <c r="G11" i="31"/>
  <c r="H13" i="31"/>
  <c r="K19" i="31"/>
  <c r="L19" i="31" s="1"/>
  <c r="J17" i="31"/>
  <c r="L22" i="31"/>
  <c r="K3" i="30"/>
  <c r="H6" i="30"/>
  <c r="H14" i="30"/>
  <c r="L16" i="30"/>
  <c r="G18" i="30"/>
  <c r="H18" i="30" s="1"/>
  <c r="H22" i="30"/>
  <c r="G24" i="30"/>
  <c r="H24" i="30" s="1"/>
  <c r="L22" i="30"/>
  <c r="L11" i="30"/>
  <c r="F15" i="30"/>
  <c r="C17" i="30"/>
  <c r="K18" i="30"/>
  <c r="L18" i="30" s="1"/>
  <c r="F19" i="30"/>
  <c r="H19" i="30" s="1"/>
  <c r="G10" i="30"/>
  <c r="H10" i="30" s="1"/>
  <c r="G11" i="30"/>
  <c r="H11" i="30" s="1"/>
  <c r="O20" i="30"/>
  <c r="Q20" i="30" s="1"/>
  <c r="C35" i="1" s="1"/>
  <c r="AF35" i="1" s="1"/>
  <c r="H25" i="30"/>
  <c r="H6" i="29"/>
  <c r="J17" i="29"/>
  <c r="G25" i="29"/>
  <c r="H25" i="29" s="1"/>
  <c r="H3" i="29"/>
  <c r="H10" i="29"/>
  <c r="H11" i="29"/>
  <c r="F15" i="29"/>
  <c r="H15" i="29" s="1"/>
  <c r="H19" i="29"/>
  <c r="L22" i="29"/>
  <c r="N26" i="29"/>
  <c r="P26" i="29" s="1"/>
  <c r="Q34" i="1" s="1"/>
  <c r="L8" i="29"/>
  <c r="H15" i="28"/>
  <c r="G17" i="28"/>
  <c r="J7" i="28"/>
  <c r="L7" i="28" s="1"/>
  <c r="G9" i="28"/>
  <c r="K11" i="28"/>
  <c r="L11" i="28" s="1"/>
  <c r="O16" i="28"/>
  <c r="Q16" i="28" s="1"/>
  <c r="C17" i="28"/>
  <c r="F17" i="28" s="1"/>
  <c r="N20" i="28"/>
  <c r="P20" i="28" s="1"/>
  <c r="I33" i="1" s="1"/>
  <c r="AC33" i="1" s="1"/>
  <c r="L6" i="28"/>
  <c r="L16" i="28"/>
  <c r="L22" i="27"/>
  <c r="N26" i="27"/>
  <c r="P26" i="27" s="1"/>
  <c r="N27" i="27"/>
  <c r="P27" i="27" s="1"/>
  <c r="R27" i="27" s="1"/>
  <c r="K3" i="27"/>
  <c r="G10" i="27"/>
  <c r="H10" i="27" s="1"/>
  <c r="G11" i="27"/>
  <c r="H11" i="27" s="1"/>
  <c r="H13" i="27"/>
  <c r="K19" i="27"/>
  <c r="L19" i="27" s="1"/>
  <c r="N20" i="27"/>
  <c r="P20" i="27" s="1"/>
  <c r="N21" i="27"/>
  <c r="P21" i="27" s="1"/>
  <c r="R21" i="27" s="1"/>
  <c r="C23" i="27"/>
  <c r="F23" i="27" s="1"/>
  <c r="F25" i="27"/>
  <c r="H6" i="27"/>
  <c r="J17" i="27"/>
  <c r="G25" i="27"/>
  <c r="H15" i="27"/>
  <c r="K15" i="26"/>
  <c r="P26" i="26"/>
  <c r="Q31" i="1" s="1"/>
  <c r="J3" i="26"/>
  <c r="L3" i="26" s="1"/>
  <c r="H10" i="26"/>
  <c r="H15" i="26"/>
  <c r="L16" i="26"/>
  <c r="L22" i="26"/>
  <c r="K10" i="26"/>
  <c r="L10" i="26" s="1"/>
  <c r="H19" i="26"/>
  <c r="L6" i="25"/>
  <c r="L12" i="25"/>
  <c r="G15" i="25"/>
  <c r="H15" i="25" s="1"/>
  <c r="H19" i="25"/>
  <c r="F10" i="25"/>
  <c r="H10" i="25" s="1"/>
  <c r="F11" i="25"/>
  <c r="H11" i="25" s="1"/>
  <c r="N26" i="25"/>
  <c r="P26" i="25" s="1"/>
  <c r="Q30" i="1" s="1"/>
  <c r="J7" i="24"/>
  <c r="L7" i="24" s="1"/>
  <c r="K11" i="24"/>
  <c r="L11" i="24" s="1"/>
  <c r="N20" i="24"/>
  <c r="P20" i="24" s="1"/>
  <c r="J8" i="24"/>
  <c r="F11" i="24"/>
  <c r="H11" i="24" s="1"/>
  <c r="H12" i="24"/>
  <c r="F20" i="24"/>
  <c r="H24" i="1" s="1"/>
  <c r="N21" i="24"/>
  <c r="P21" i="24" s="1"/>
  <c r="R21" i="24" s="1"/>
  <c r="L22" i="24"/>
  <c r="K10" i="24"/>
  <c r="L10" i="24" s="1"/>
  <c r="N26" i="24"/>
  <c r="P26" i="24" s="1"/>
  <c r="Q24" i="1" s="1"/>
  <c r="G17" i="23"/>
  <c r="K17" i="23"/>
  <c r="L4" i="23"/>
  <c r="J3" i="23"/>
  <c r="H4" i="23"/>
  <c r="L6" i="23"/>
  <c r="J8" i="23"/>
  <c r="H12" i="23"/>
  <c r="G18" i="23"/>
  <c r="H18" i="23" s="1"/>
  <c r="F10" i="23"/>
  <c r="F11" i="23"/>
  <c r="L16" i="23"/>
  <c r="C17" i="23"/>
  <c r="T16" i="23" s="1"/>
  <c r="K18" i="23"/>
  <c r="L18" i="23" s="1"/>
  <c r="J15" i="23"/>
  <c r="H16" i="23"/>
  <c r="J19" i="23"/>
  <c r="L19" i="23" s="1"/>
  <c r="J15" i="22"/>
  <c r="H11" i="22"/>
  <c r="H12" i="22"/>
  <c r="H14" i="22"/>
  <c r="F17" i="22"/>
  <c r="D23" i="22"/>
  <c r="K23" i="22" s="1"/>
  <c r="G24" i="22"/>
  <c r="H24" i="22" s="1"/>
  <c r="H25" i="22"/>
  <c r="T16" i="22"/>
  <c r="L13" i="22"/>
  <c r="D17" i="22"/>
  <c r="O16" i="22" s="1"/>
  <c r="J10" i="21"/>
  <c r="H16" i="21"/>
  <c r="G19" i="21"/>
  <c r="H19" i="21" s="1"/>
  <c r="F20" i="21"/>
  <c r="H21" i="1" s="1"/>
  <c r="L22" i="21"/>
  <c r="K25" i="21"/>
  <c r="F26" i="21"/>
  <c r="P21" i="1" s="1"/>
  <c r="L6" i="21"/>
  <c r="J19" i="21"/>
  <c r="L19" i="21" s="1"/>
  <c r="C17" i="21"/>
  <c r="T16" i="21" s="1"/>
  <c r="G18" i="21"/>
  <c r="H18" i="21" s="1"/>
  <c r="J11" i="21"/>
  <c r="L13" i="21"/>
  <c r="G15" i="21"/>
  <c r="H15" i="21" s="1"/>
  <c r="D17" i="21"/>
  <c r="G17" i="21" s="1"/>
  <c r="L6" i="20"/>
  <c r="L22" i="20"/>
  <c r="H25" i="20"/>
  <c r="H19" i="20"/>
  <c r="J19" i="20"/>
  <c r="D23" i="20"/>
  <c r="K23" i="20" s="1"/>
  <c r="H6" i="20"/>
  <c r="L14" i="20"/>
  <c r="F15" i="20"/>
  <c r="C17" i="20"/>
  <c r="T16" i="20" s="1"/>
  <c r="V16" i="20" s="1"/>
  <c r="G18" i="20"/>
  <c r="H18" i="20" s="1"/>
  <c r="K24" i="20"/>
  <c r="L24" i="20" s="1"/>
  <c r="H12" i="20"/>
  <c r="J11" i="20"/>
  <c r="G15" i="20"/>
  <c r="H15" i="20" s="1"/>
  <c r="D17" i="20"/>
  <c r="J3" i="19"/>
  <c r="L3" i="19" s="1"/>
  <c r="H6" i="19"/>
  <c r="J8" i="19"/>
  <c r="L8" i="19" s="1"/>
  <c r="G11" i="19"/>
  <c r="T16" i="19"/>
  <c r="D23" i="19"/>
  <c r="K25" i="19"/>
  <c r="L10" i="19"/>
  <c r="L16" i="19"/>
  <c r="L11" i="19"/>
  <c r="F17" i="19"/>
  <c r="H22" i="19"/>
  <c r="V16" i="33"/>
  <c r="J11" i="18"/>
  <c r="L11" i="18" s="1"/>
  <c r="J3" i="18"/>
  <c r="T16" i="18"/>
  <c r="D17" i="18"/>
  <c r="G17" i="18" s="1"/>
  <c r="H17" i="18" s="1"/>
  <c r="G18" i="18"/>
  <c r="H18" i="18" s="1"/>
  <c r="H19" i="18"/>
  <c r="G24" i="18"/>
  <c r="H24" i="18" s="1"/>
  <c r="K3" i="18"/>
  <c r="G9" i="18"/>
  <c r="H15" i="18"/>
  <c r="F25" i="18"/>
  <c r="H25" i="18" s="1"/>
  <c r="N26" i="18"/>
  <c r="P26" i="18" s="1"/>
  <c r="L8" i="18"/>
  <c r="J25" i="18"/>
  <c r="L25" i="18" s="1"/>
  <c r="K3" i="17"/>
  <c r="J8" i="17"/>
  <c r="L8" i="17" s="1"/>
  <c r="C17" i="17"/>
  <c r="F10" i="17"/>
  <c r="H10" i="17" s="1"/>
  <c r="H14" i="17"/>
  <c r="J15" i="17"/>
  <c r="D17" i="17"/>
  <c r="G17" i="17" s="1"/>
  <c r="K18" i="17"/>
  <c r="L18" i="17" s="1"/>
  <c r="J19" i="17"/>
  <c r="N26" i="17"/>
  <c r="P26" i="17" s="1"/>
  <c r="N27" i="17"/>
  <c r="P27" i="17" s="1"/>
  <c r="R27" i="17" s="1"/>
  <c r="L16" i="17"/>
  <c r="F11" i="17"/>
  <c r="H11" i="17" s="1"/>
  <c r="F23" i="17"/>
  <c r="L22" i="13"/>
  <c r="H25" i="13"/>
  <c r="F25" i="16"/>
  <c r="H3" i="16"/>
  <c r="F7" i="16"/>
  <c r="H7" i="16" s="1"/>
  <c r="T16" i="16"/>
  <c r="V16" i="16" s="1"/>
  <c r="G24" i="16"/>
  <c r="H24" i="16" s="1"/>
  <c r="L22" i="16"/>
  <c r="K3" i="16"/>
  <c r="G11" i="16"/>
  <c r="H11" i="16" s="1"/>
  <c r="K15" i="16"/>
  <c r="L15" i="16" s="1"/>
  <c r="K19" i="16"/>
  <c r="Q20" i="16"/>
  <c r="D23" i="16"/>
  <c r="Q26" i="16"/>
  <c r="P16" i="33"/>
  <c r="H11" i="13"/>
  <c r="H10" i="13"/>
  <c r="L8" i="13"/>
  <c r="H12" i="13"/>
  <c r="C17" i="13"/>
  <c r="K23" i="13"/>
  <c r="Q26" i="13"/>
  <c r="C11" i="1" s="1"/>
  <c r="AF11" i="1" s="1"/>
  <c r="H15" i="13"/>
  <c r="H19" i="13"/>
  <c r="K3" i="13"/>
  <c r="J10" i="13"/>
  <c r="L10" i="13" s="1"/>
  <c r="J11" i="13"/>
  <c r="L11" i="13" s="1"/>
  <c r="K3" i="15"/>
  <c r="F10" i="15"/>
  <c r="F11" i="15"/>
  <c r="H11" i="15" s="1"/>
  <c r="F25" i="15"/>
  <c r="G10" i="15"/>
  <c r="K11" i="15"/>
  <c r="L11" i="15" s="1"/>
  <c r="L6" i="15"/>
  <c r="K15" i="15"/>
  <c r="C17" i="15"/>
  <c r="J17" i="15" s="1"/>
  <c r="F23" i="15"/>
  <c r="J23" i="15"/>
  <c r="L16" i="15"/>
  <c r="G9" i="15"/>
  <c r="L10" i="15"/>
  <c r="J25" i="15"/>
  <c r="J3" i="15"/>
  <c r="H8" i="15"/>
  <c r="K19" i="15"/>
  <c r="L22" i="15"/>
  <c r="L26" i="15"/>
  <c r="N26" i="15"/>
  <c r="P26" i="15" s="1"/>
  <c r="T22" i="14"/>
  <c r="V22" i="14" s="1"/>
  <c r="J23" i="14"/>
  <c r="L16" i="14"/>
  <c r="N21" i="14"/>
  <c r="P21" i="14" s="1"/>
  <c r="R21" i="14" s="1"/>
  <c r="F25" i="14"/>
  <c r="H25" i="14" s="1"/>
  <c r="O26" i="14"/>
  <c r="Q26" i="14" s="1"/>
  <c r="C12" i="1" s="1"/>
  <c r="AF12" i="1" s="1"/>
  <c r="G9" i="14"/>
  <c r="J25" i="14"/>
  <c r="J8" i="14"/>
  <c r="L8" i="14" s="1"/>
  <c r="H13" i="14"/>
  <c r="J3" i="14"/>
  <c r="F10" i="14"/>
  <c r="H10" i="14" s="1"/>
  <c r="N26" i="14"/>
  <c r="P26" i="14" s="1"/>
  <c r="F8" i="4"/>
  <c r="H8" i="4" s="1"/>
  <c r="L16" i="4"/>
  <c r="C17" i="4"/>
  <c r="K18" i="4"/>
  <c r="L18" i="4" s="1"/>
  <c r="F10" i="4"/>
  <c r="F11" i="4"/>
  <c r="L12" i="4"/>
  <c r="H15" i="4"/>
  <c r="J15" i="4"/>
  <c r="H16" i="4"/>
  <c r="D17" i="4"/>
  <c r="U16" i="4" s="1"/>
  <c r="J19" i="4"/>
  <c r="L19" i="4" s="1"/>
  <c r="F20" i="4"/>
  <c r="F26" i="4"/>
  <c r="L4" i="4"/>
  <c r="J3" i="4"/>
  <c r="H4" i="4"/>
  <c r="L6" i="4"/>
  <c r="H12" i="12"/>
  <c r="N27" i="12"/>
  <c r="P27" i="12" s="1"/>
  <c r="R27" i="12" s="1"/>
  <c r="H6" i="12"/>
  <c r="J8" i="12"/>
  <c r="L8" i="12" s="1"/>
  <c r="F11" i="12"/>
  <c r="G15" i="12"/>
  <c r="K10" i="12"/>
  <c r="L22" i="12"/>
  <c r="N26" i="12"/>
  <c r="P26" i="12" s="1"/>
  <c r="H8" i="11"/>
  <c r="N20" i="11"/>
  <c r="P20" i="11" s="1"/>
  <c r="F10" i="11"/>
  <c r="H10" i="11" s="1"/>
  <c r="F11" i="11"/>
  <c r="H11" i="11" s="1"/>
  <c r="L16" i="11"/>
  <c r="D17" i="11"/>
  <c r="G19" i="11"/>
  <c r="H19" i="11" s="1"/>
  <c r="F20" i="11"/>
  <c r="N21" i="11"/>
  <c r="P21" i="11" s="1"/>
  <c r="R21" i="11" s="1"/>
  <c r="H15" i="11"/>
  <c r="N26" i="11"/>
  <c r="P26" i="11" s="1"/>
  <c r="Q8" i="1" s="1"/>
  <c r="L6" i="9"/>
  <c r="L22" i="9"/>
  <c r="H3" i="9"/>
  <c r="H6" i="9"/>
  <c r="L14" i="9"/>
  <c r="F15" i="9"/>
  <c r="G19" i="9"/>
  <c r="F20" i="9"/>
  <c r="H6" i="1" s="1"/>
  <c r="J25" i="9"/>
  <c r="L25" i="9" s="1"/>
  <c r="F26" i="9"/>
  <c r="L15" i="9"/>
  <c r="G15" i="9"/>
  <c r="K11" i="8"/>
  <c r="L11" i="8" s="1"/>
  <c r="H13" i="8"/>
  <c r="K10" i="8"/>
  <c r="L10" i="8" s="1"/>
  <c r="F8" i="8"/>
  <c r="H8" i="8" s="1"/>
  <c r="F20" i="8"/>
  <c r="H5" i="1" s="1"/>
  <c r="L22" i="8"/>
  <c r="K3" i="10"/>
  <c r="G10" i="10"/>
  <c r="H10" i="10" s="1"/>
  <c r="H12" i="10"/>
  <c r="F17" i="10"/>
  <c r="G18" i="10"/>
  <c r="H18" i="10" s="1"/>
  <c r="H22" i="10"/>
  <c r="K25" i="10"/>
  <c r="L25" i="10" s="1"/>
  <c r="J17" i="10"/>
  <c r="L8" i="10"/>
  <c r="J11" i="10"/>
  <c r="L11" i="10" s="1"/>
  <c r="H19" i="10"/>
  <c r="F25" i="10"/>
  <c r="H25" i="10" s="1"/>
  <c r="L22" i="10"/>
  <c r="D23" i="10"/>
  <c r="O22" i="10" s="1"/>
  <c r="Q22" i="10" s="1"/>
  <c r="J3" i="8"/>
  <c r="F10" i="8"/>
  <c r="H10" i="8" s="1"/>
  <c r="F11" i="8"/>
  <c r="H11" i="8" s="1"/>
  <c r="N20" i="8"/>
  <c r="P20" i="8" s="1"/>
  <c r="C23" i="8"/>
  <c r="F23" i="8" s="1"/>
  <c r="P26" i="8"/>
  <c r="L6" i="8"/>
  <c r="G9" i="8"/>
  <c r="N21" i="8"/>
  <c r="P21" i="8" s="1"/>
  <c r="R21" i="8" s="1"/>
  <c r="P27" i="8"/>
  <c r="R27" i="8" s="1"/>
  <c r="L4" i="8"/>
  <c r="H19" i="8"/>
  <c r="H12" i="32"/>
  <c r="H14" i="32"/>
  <c r="L11" i="32"/>
  <c r="H6" i="32"/>
  <c r="G11" i="32"/>
  <c r="H11" i="32" s="1"/>
  <c r="H15" i="32"/>
  <c r="D17" i="32"/>
  <c r="G17" i="32" s="1"/>
  <c r="D23" i="32"/>
  <c r="K23" i="32" s="1"/>
  <c r="G24" i="32"/>
  <c r="H24" i="32" s="1"/>
  <c r="L6" i="32"/>
  <c r="L10" i="32"/>
  <c r="Q26" i="32"/>
  <c r="C37" i="1" s="1"/>
  <c r="AF37" i="1" s="1"/>
  <c r="H19" i="32"/>
  <c r="L25" i="32"/>
  <c r="L8" i="32"/>
  <c r="L22" i="32"/>
  <c r="H3" i="32"/>
  <c r="F7" i="32"/>
  <c r="H7" i="32" s="1"/>
  <c r="K9" i="32"/>
  <c r="L9" i="32" s="1"/>
  <c r="H13" i="32"/>
  <c r="K15" i="32"/>
  <c r="K19" i="32"/>
  <c r="L19" i="32" s="1"/>
  <c r="L20" i="32"/>
  <c r="C23" i="32"/>
  <c r="L26" i="32"/>
  <c r="J16" i="32"/>
  <c r="L16" i="32" s="1"/>
  <c r="F20" i="32"/>
  <c r="F26" i="32"/>
  <c r="G9" i="32"/>
  <c r="P26" i="32"/>
  <c r="Q37" i="1" s="1"/>
  <c r="K3" i="32"/>
  <c r="H4" i="32"/>
  <c r="L4" i="32"/>
  <c r="H20" i="31"/>
  <c r="L6" i="31"/>
  <c r="H26" i="31"/>
  <c r="J3" i="31"/>
  <c r="F8" i="31"/>
  <c r="H8" i="31" s="1"/>
  <c r="F10" i="31"/>
  <c r="H10" i="31" s="1"/>
  <c r="F11" i="31"/>
  <c r="H11" i="31" s="1"/>
  <c r="L12" i="31"/>
  <c r="K16" i="31"/>
  <c r="L16" i="31" s="1"/>
  <c r="J23" i="31"/>
  <c r="H4" i="31"/>
  <c r="H16" i="31"/>
  <c r="T16" i="31"/>
  <c r="D17" i="31"/>
  <c r="K18" i="31"/>
  <c r="L18" i="31" s="1"/>
  <c r="J20" i="31"/>
  <c r="L20" i="31" s="1"/>
  <c r="N22" i="31"/>
  <c r="P22" i="31" s="1"/>
  <c r="F23" i="31"/>
  <c r="G24" i="31"/>
  <c r="H24" i="31" s="1"/>
  <c r="J26" i="31"/>
  <c r="L26" i="31" s="1"/>
  <c r="L25" i="31"/>
  <c r="J4" i="31"/>
  <c r="N16" i="31"/>
  <c r="H22" i="31"/>
  <c r="D23" i="31"/>
  <c r="L6" i="30"/>
  <c r="H26" i="30"/>
  <c r="H20" i="30"/>
  <c r="T22" i="30"/>
  <c r="F23" i="30"/>
  <c r="H23" i="30" s="1"/>
  <c r="J23" i="30"/>
  <c r="J3" i="30"/>
  <c r="J7" i="30"/>
  <c r="L7" i="30" s="1"/>
  <c r="F8" i="30"/>
  <c r="H8" i="30" s="1"/>
  <c r="G9" i="30"/>
  <c r="H15" i="30"/>
  <c r="G17" i="30"/>
  <c r="N20" i="30"/>
  <c r="U22" i="30"/>
  <c r="J25" i="30"/>
  <c r="L25" i="30" s="1"/>
  <c r="N26" i="30"/>
  <c r="P26" i="30" s="1"/>
  <c r="J20" i="30"/>
  <c r="L20" i="30" s="1"/>
  <c r="J26" i="30"/>
  <c r="L26" i="30" s="1"/>
  <c r="H3" i="30"/>
  <c r="H13" i="30"/>
  <c r="K15" i="30"/>
  <c r="L15" i="30" s="1"/>
  <c r="U16" i="30"/>
  <c r="K19" i="30"/>
  <c r="L19" i="30" s="1"/>
  <c r="O22" i="30"/>
  <c r="Q22" i="30" s="1"/>
  <c r="J4" i="30"/>
  <c r="L6" i="29"/>
  <c r="L25" i="29"/>
  <c r="L26" i="29"/>
  <c r="L20" i="29"/>
  <c r="J10" i="29"/>
  <c r="L10" i="29" s="1"/>
  <c r="J11" i="29"/>
  <c r="L11" i="29" s="1"/>
  <c r="H12" i="29"/>
  <c r="N16" i="29"/>
  <c r="F17" i="29"/>
  <c r="G18" i="29"/>
  <c r="H18" i="29" s="1"/>
  <c r="F20" i="29"/>
  <c r="H22" i="29"/>
  <c r="T22" i="29"/>
  <c r="D23" i="29"/>
  <c r="K24" i="29"/>
  <c r="L24" i="29" s="1"/>
  <c r="F26" i="29"/>
  <c r="J3" i="29"/>
  <c r="F8" i="29"/>
  <c r="H8" i="29" s="1"/>
  <c r="K16" i="29"/>
  <c r="L16" i="29" s="1"/>
  <c r="J23" i="29"/>
  <c r="H4" i="29"/>
  <c r="L4" i="29"/>
  <c r="H16" i="29"/>
  <c r="D17" i="29"/>
  <c r="L8" i="28"/>
  <c r="H11" i="28"/>
  <c r="H19" i="28"/>
  <c r="T22" i="28"/>
  <c r="V22" i="28" s="1"/>
  <c r="F23" i="28"/>
  <c r="N22" i="28"/>
  <c r="P22" i="28" s="1"/>
  <c r="J23" i="28"/>
  <c r="L22" i="28"/>
  <c r="H20" i="28"/>
  <c r="H26" i="28"/>
  <c r="K3" i="28"/>
  <c r="L3" i="28" s="1"/>
  <c r="H4" i="28"/>
  <c r="H14" i="28"/>
  <c r="J15" i="28"/>
  <c r="H16" i="28"/>
  <c r="T16" i="28"/>
  <c r="J19" i="28"/>
  <c r="J20" i="28"/>
  <c r="L20" i="28" s="1"/>
  <c r="G24" i="28"/>
  <c r="H24" i="28" s="1"/>
  <c r="K25" i="28"/>
  <c r="L25" i="28" s="1"/>
  <c r="J26" i="28"/>
  <c r="L26" i="28" s="1"/>
  <c r="H3" i="28"/>
  <c r="H13" i="28"/>
  <c r="K15" i="28"/>
  <c r="U16" i="28"/>
  <c r="J17" i="28"/>
  <c r="L17" i="28" s="1"/>
  <c r="K19" i="28"/>
  <c r="J4" i="28"/>
  <c r="D23" i="28"/>
  <c r="L25" i="27"/>
  <c r="L26" i="27"/>
  <c r="L20" i="27"/>
  <c r="L6" i="27"/>
  <c r="J3" i="27"/>
  <c r="H19" i="27"/>
  <c r="J10" i="27"/>
  <c r="L10" i="27" s="1"/>
  <c r="J11" i="27"/>
  <c r="L11" i="27" s="1"/>
  <c r="H12" i="27"/>
  <c r="F17" i="27"/>
  <c r="G18" i="27"/>
  <c r="H18" i="27" s="1"/>
  <c r="F20" i="27"/>
  <c r="H22" i="27"/>
  <c r="D23" i="27"/>
  <c r="K24" i="27"/>
  <c r="L24" i="27" s="1"/>
  <c r="F26" i="27"/>
  <c r="K4" i="27"/>
  <c r="F8" i="27"/>
  <c r="H8" i="27" s="1"/>
  <c r="K16" i="27"/>
  <c r="L16" i="27" s="1"/>
  <c r="H4" i="27"/>
  <c r="H16" i="27"/>
  <c r="D17" i="27"/>
  <c r="L8" i="26"/>
  <c r="L20" i="26"/>
  <c r="L26" i="26"/>
  <c r="N16" i="26"/>
  <c r="F17" i="26"/>
  <c r="H22" i="26"/>
  <c r="T22" i="26"/>
  <c r="D23" i="26"/>
  <c r="K24" i="26"/>
  <c r="L24" i="26" s="1"/>
  <c r="H25" i="26"/>
  <c r="H20" i="26"/>
  <c r="K3" i="26"/>
  <c r="H4" i="26"/>
  <c r="L4" i="26"/>
  <c r="H14" i="26"/>
  <c r="J15" i="26"/>
  <c r="L15" i="26" s="1"/>
  <c r="H16" i="26"/>
  <c r="T16" i="26"/>
  <c r="D17" i="26"/>
  <c r="J19" i="26"/>
  <c r="L19" i="26" s="1"/>
  <c r="N22" i="26"/>
  <c r="P22" i="26" s="1"/>
  <c r="K25" i="26"/>
  <c r="L25" i="26" s="1"/>
  <c r="H3" i="26"/>
  <c r="L8" i="25"/>
  <c r="L22" i="25"/>
  <c r="L20" i="25"/>
  <c r="H20" i="25"/>
  <c r="H26" i="25"/>
  <c r="K3" i="25"/>
  <c r="H4" i="25"/>
  <c r="L4" i="25"/>
  <c r="H14" i="25"/>
  <c r="J15" i="25"/>
  <c r="L15" i="25" s="1"/>
  <c r="H16" i="25"/>
  <c r="L16" i="25"/>
  <c r="T16" i="25"/>
  <c r="D17" i="25"/>
  <c r="K18" i="25"/>
  <c r="L18" i="25" s="1"/>
  <c r="J19" i="25"/>
  <c r="L19" i="25" s="1"/>
  <c r="G24" i="25"/>
  <c r="H24" i="25" s="1"/>
  <c r="K25" i="25"/>
  <c r="H3" i="25"/>
  <c r="J17" i="25"/>
  <c r="L25" i="25"/>
  <c r="N16" i="25"/>
  <c r="H22" i="25"/>
  <c r="D23" i="25"/>
  <c r="L14" i="24"/>
  <c r="H14" i="24"/>
  <c r="F17" i="24"/>
  <c r="J17" i="24"/>
  <c r="T16" i="24"/>
  <c r="T22" i="24"/>
  <c r="V22" i="24" s="1"/>
  <c r="F23" i="24"/>
  <c r="J23" i="24"/>
  <c r="H3" i="24"/>
  <c r="L8" i="24"/>
  <c r="L16" i="24"/>
  <c r="H16" i="24"/>
  <c r="F19" i="24"/>
  <c r="H19" i="24" s="1"/>
  <c r="J19" i="24"/>
  <c r="L19" i="24" s="1"/>
  <c r="L4" i="24"/>
  <c r="H4" i="24"/>
  <c r="H10" i="24"/>
  <c r="F15" i="24"/>
  <c r="J15" i="24"/>
  <c r="L15" i="24" s="1"/>
  <c r="L20" i="24"/>
  <c r="H20" i="24"/>
  <c r="H26" i="24"/>
  <c r="K3" i="24"/>
  <c r="D17" i="24"/>
  <c r="G24" i="24"/>
  <c r="H24" i="24" s="1"/>
  <c r="F25" i="24"/>
  <c r="H25" i="24" s="1"/>
  <c r="K25" i="24"/>
  <c r="L25" i="24" s="1"/>
  <c r="D23" i="24"/>
  <c r="L10" i="23"/>
  <c r="L11" i="23"/>
  <c r="H19" i="23"/>
  <c r="L8" i="23"/>
  <c r="K3" i="23"/>
  <c r="G10" i="23"/>
  <c r="H10" i="23" s="1"/>
  <c r="G11" i="23"/>
  <c r="O20" i="23"/>
  <c r="Q20" i="23" s="1"/>
  <c r="F25" i="23"/>
  <c r="H25" i="23" s="1"/>
  <c r="O26" i="23"/>
  <c r="Q26" i="23" s="1"/>
  <c r="H3" i="23"/>
  <c r="F7" i="23"/>
  <c r="H7" i="23" s="1"/>
  <c r="K9" i="23"/>
  <c r="L9" i="23" s="1"/>
  <c r="U16" i="23"/>
  <c r="L20" i="23"/>
  <c r="C23" i="23"/>
  <c r="L26" i="23"/>
  <c r="L15" i="23"/>
  <c r="N20" i="23"/>
  <c r="N26" i="23"/>
  <c r="P26" i="23" s="1"/>
  <c r="Q23" i="1" s="1"/>
  <c r="L16" i="22"/>
  <c r="L20" i="22"/>
  <c r="H26" i="22"/>
  <c r="L26" i="22"/>
  <c r="L8" i="22"/>
  <c r="H3" i="22"/>
  <c r="F7" i="22"/>
  <c r="H7" i="22" s="1"/>
  <c r="K9" i="22"/>
  <c r="L9" i="22" s="1"/>
  <c r="O22" i="22"/>
  <c r="Q22" i="22" s="1"/>
  <c r="C23" i="22"/>
  <c r="G23" i="22"/>
  <c r="L15" i="22"/>
  <c r="L19" i="22"/>
  <c r="J3" i="22"/>
  <c r="K4" i="22"/>
  <c r="F8" i="22"/>
  <c r="H8" i="22" s="1"/>
  <c r="K10" i="22"/>
  <c r="L10" i="22" s="1"/>
  <c r="K11" i="22"/>
  <c r="L11" i="22" s="1"/>
  <c r="N20" i="22"/>
  <c r="N21" i="22"/>
  <c r="P21" i="22" s="1"/>
  <c r="R21" i="22" s="1"/>
  <c r="V21" i="22"/>
  <c r="X21" i="22" s="1"/>
  <c r="J25" i="22"/>
  <c r="L25" i="22" s="1"/>
  <c r="N26" i="22"/>
  <c r="P26" i="22" s="1"/>
  <c r="N27" i="22"/>
  <c r="P27" i="22" s="1"/>
  <c r="R27" i="22" s="1"/>
  <c r="K3" i="22"/>
  <c r="H4" i="22"/>
  <c r="L8" i="21"/>
  <c r="H11" i="21"/>
  <c r="T22" i="21"/>
  <c r="V22" i="21" s="1"/>
  <c r="F23" i="21"/>
  <c r="H23" i="21" s="1"/>
  <c r="J23" i="21"/>
  <c r="H10" i="21"/>
  <c r="L16" i="21"/>
  <c r="L20" i="21"/>
  <c r="L26" i="21"/>
  <c r="H26" i="21"/>
  <c r="L15" i="21"/>
  <c r="J3" i="21"/>
  <c r="K4" i="21"/>
  <c r="L4" i="21" s="1"/>
  <c r="J7" i="21"/>
  <c r="L7" i="21" s="1"/>
  <c r="F8" i="21"/>
  <c r="H8" i="21" s="1"/>
  <c r="G9" i="21"/>
  <c r="K10" i="21"/>
  <c r="L10" i="21" s="1"/>
  <c r="K11" i="21"/>
  <c r="L11" i="21" s="1"/>
  <c r="O16" i="21"/>
  <c r="N20" i="21"/>
  <c r="N21" i="21"/>
  <c r="P21" i="21" s="1"/>
  <c r="R21" i="21" s="1"/>
  <c r="V21" i="21"/>
  <c r="X21" i="21" s="1"/>
  <c r="U22" i="21"/>
  <c r="W22" i="21" s="1"/>
  <c r="J25" i="21"/>
  <c r="L25" i="21" s="1"/>
  <c r="N26" i="21"/>
  <c r="P26" i="21" s="1"/>
  <c r="N27" i="21"/>
  <c r="P27" i="21" s="1"/>
  <c r="R27" i="21" s="1"/>
  <c r="K3" i="21"/>
  <c r="H4" i="21"/>
  <c r="K23" i="21"/>
  <c r="F25" i="21"/>
  <c r="H25" i="21" s="1"/>
  <c r="H3" i="21"/>
  <c r="O22" i="21"/>
  <c r="Q22" i="21" s="1"/>
  <c r="H11" i="20"/>
  <c r="H10" i="20"/>
  <c r="L16" i="20"/>
  <c r="H20" i="20"/>
  <c r="L20" i="20"/>
  <c r="F7" i="20"/>
  <c r="H7" i="20" s="1"/>
  <c r="K9" i="20"/>
  <c r="L9" i="20" s="1"/>
  <c r="U16" i="20"/>
  <c r="C23" i="20"/>
  <c r="L15" i="20"/>
  <c r="L19" i="20"/>
  <c r="J3" i="20"/>
  <c r="K4" i="20"/>
  <c r="L4" i="20" s="1"/>
  <c r="F8" i="20"/>
  <c r="H8" i="20" s="1"/>
  <c r="G9" i="20"/>
  <c r="K10" i="20"/>
  <c r="L10" i="20" s="1"/>
  <c r="K11" i="20"/>
  <c r="L11" i="20" s="1"/>
  <c r="O16" i="20"/>
  <c r="N20" i="20"/>
  <c r="N21" i="20"/>
  <c r="P21" i="20" s="1"/>
  <c r="R21" i="20" s="1"/>
  <c r="V21" i="20"/>
  <c r="X21" i="20" s="1"/>
  <c r="J25" i="20"/>
  <c r="L25" i="20" s="1"/>
  <c r="P26" i="20"/>
  <c r="P27" i="20"/>
  <c r="R27" i="20" s="1"/>
  <c r="K3" i="20"/>
  <c r="H4" i="20"/>
  <c r="L4" i="19"/>
  <c r="H25" i="19"/>
  <c r="L6" i="19"/>
  <c r="L22" i="19"/>
  <c r="T22" i="19"/>
  <c r="V22" i="19" s="1"/>
  <c r="F23" i="19"/>
  <c r="J23" i="19"/>
  <c r="J7" i="19"/>
  <c r="L7" i="19" s="1"/>
  <c r="G9" i="19"/>
  <c r="H15" i="19"/>
  <c r="O16" i="19"/>
  <c r="G17" i="19"/>
  <c r="H17" i="19" s="1"/>
  <c r="L17" i="19"/>
  <c r="H19" i="19"/>
  <c r="H20" i="19"/>
  <c r="N20" i="19"/>
  <c r="U22" i="19"/>
  <c r="W22" i="19" s="1"/>
  <c r="J25" i="19"/>
  <c r="H26" i="19"/>
  <c r="N26" i="19"/>
  <c r="P26" i="19" s="1"/>
  <c r="J26" i="19"/>
  <c r="L26" i="19" s="1"/>
  <c r="J20" i="19"/>
  <c r="L20" i="19" s="1"/>
  <c r="H3" i="19"/>
  <c r="H13" i="19"/>
  <c r="K15" i="19"/>
  <c r="U16" i="19"/>
  <c r="K19" i="19"/>
  <c r="L19" i="19" s="1"/>
  <c r="O22" i="19"/>
  <c r="Q22" i="19" s="1"/>
  <c r="N27" i="19"/>
  <c r="P27" i="19" s="1"/>
  <c r="R27" i="19" s="1"/>
  <c r="L6" i="18"/>
  <c r="L22" i="18"/>
  <c r="F23" i="18"/>
  <c r="J23" i="18"/>
  <c r="T22" i="18"/>
  <c r="V22" i="18" s="1"/>
  <c r="H3" i="18"/>
  <c r="F7" i="18"/>
  <c r="H7" i="18" s="1"/>
  <c r="H13" i="18"/>
  <c r="K15" i="18"/>
  <c r="J17" i="18"/>
  <c r="K19" i="18"/>
  <c r="L19" i="18" s="1"/>
  <c r="L20" i="18"/>
  <c r="L26" i="18"/>
  <c r="J4" i="18"/>
  <c r="J16" i="18"/>
  <c r="L16" i="18" s="1"/>
  <c r="N16" i="18"/>
  <c r="K17" i="18"/>
  <c r="F20" i="18"/>
  <c r="D23" i="18"/>
  <c r="F26" i="18"/>
  <c r="H15" i="17"/>
  <c r="H19" i="17"/>
  <c r="L22" i="17"/>
  <c r="H25" i="17"/>
  <c r="H26" i="17"/>
  <c r="H4" i="17"/>
  <c r="J20" i="17"/>
  <c r="L20" i="17" s="1"/>
  <c r="G24" i="17"/>
  <c r="H24" i="17" s="1"/>
  <c r="K25" i="17"/>
  <c r="L25" i="17" s="1"/>
  <c r="J26" i="17"/>
  <c r="L26" i="17" s="1"/>
  <c r="H3" i="17"/>
  <c r="L3" i="17"/>
  <c r="F7" i="17"/>
  <c r="H7" i="17" s="1"/>
  <c r="H13" i="17"/>
  <c r="K15" i="17"/>
  <c r="U16" i="17"/>
  <c r="J17" i="17"/>
  <c r="K19" i="17"/>
  <c r="L19" i="17" s="1"/>
  <c r="J4" i="17"/>
  <c r="N16" i="17"/>
  <c r="K17" i="17"/>
  <c r="H22" i="17"/>
  <c r="D23" i="17"/>
  <c r="O16" i="17"/>
  <c r="L20" i="16"/>
  <c r="L25" i="16"/>
  <c r="L26" i="16"/>
  <c r="H15" i="16"/>
  <c r="H19" i="16"/>
  <c r="L6" i="16"/>
  <c r="J10" i="16"/>
  <c r="L10" i="16" s="1"/>
  <c r="J11" i="16"/>
  <c r="L11" i="16" s="1"/>
  <c r="H12" i="16"/>
  <c r="G18" i="16"/>
  <c r="H18" i="16" s="1"/>
  <c r="L19" i="16"/>
  <c r="F20" i="16"/>
  <c r="H22" i="16"/>
  <c r="T22" i="16"/>
  <c r="V22" i="16" s="1"/>
  <c r="H25" i="16"/>
  <c r="F26" i="16"/>
  <c r="J3" i="16"/>
  <c r="K4" i="16"/>
  <c r="F8" i="16"/>
  <c r="H8" i="16" s="1"/>
  <c r="K16" i="16"/>
  <c r="L16" i="16" s="1"/>
  <c r="V20" i="16"/>
  <c r="J23" i="16"/>
  <c r="P26" i="16"/>
  <c r="D17" i="16"/>
  <c r="H15" i="15"/>
  <c r="H19" i="15"/>
  <c r="N16" i="15"/>
  <c r="F17" i="15"/>
  <c r="G18" i="15"/>
  <c r="H18" i="15" s="1"/>
  <c r="F20" i="15"/>
  <c r="H13" i="1" s="1"/>
  <c r="H22" i="15"/>
  <c r="T22" i="15"/>
  <c r="V22" i="15" s="1"/>
  <c r="D23" i="15"/>
  <c r="K24" i="15"/>
  <c r="L24" i="15" s="1"/>
  <c r="H25" i="15"/>
  <c r="F26" i="15"/>
  <c r="H4" i="15"/>
  <c r="L4" i="15"/>
  <c r="H14" i="15"/>
  <c r="J15" i="15"/>
  <c r="H16" i="15"/>
  <c r="T16" i="15"/>
  <c r="D17" i="15"/>
  <c r="J19" i="15"/>
  <c r="K25" i="15"/>
  <c r="L25" i="15" s="1"/>
  <c r="H3" i="15"/>
  <c r="L3" i="15"/>
  <c r="H15" i="14"/>
  <c r="H19" i="14"/>
  <c r="H4" i="14"/>
  <c r="H14" i="14"/>
  <c r="J15" i="14"/>
  <c r="L15" i="14" s="1"/>
  <c r="H16" i="14"/>
  <c r="T16" i="14"/>
  <c r="D17" i="14"/>
  <c r="K18" i="14"/>
  <c r="L18" i="14" s="1"/>
  <c r="J19" i="14"/>
  <c r="L19" i="14" s="1"/>
  <c r="J20" i="14"/>
  <c r="L20" i="14" s="1"/>
  <c r="F23" i="14"/>
  <c r="G24" i="14"/>
  <c r="H24" i="14" s="1"/>
  <c r="K25" i="14"/>
  <c r="J26" i="14"/>
  <c r="L26" i="14" s="1"/>
  <c r="H3" i="14"/>
  <c r="L3" i="14"/>
  <c r="J17" i="14"/>
  <c r="J4" i="14"/>
  <c r="H22" i="14"/>
  <c r="D23" i="14"/>
  <c r="L6" i="13"/>
  <c r="L25" i="13"/>
  <c r="L26" i="13"/>
  <c r="L20" i="13"/>
  <c r="H3" i="13"/>
  <c r="F7" i="13"/>
  <c r="H7" i="13" s="1"/>
  <c r="K9" i="13"/>
  <c r="L9" i="13" s="1"/>
  <c r="H13" i="13"/>
  <c r="K15" i="13"/>
  <c r="L15" i="13" s="1"/>
  <c r="U16" i="13"/>
  <c r="K19" i="13"/>
  <c r="L19" i="13" s="1"/>
  <c r="C23" i="13"/>
  <c r="G23" i="13"/>
  <c r="J4" i="13"/>
  <c r="K17" i="13"/>
  <c r="F20" i="13"/>
  <c r="F26" i="13"/>
  <c r="J3" i="13"/>
  <c r="K4" i="13"/>
  <c r="F8" i="13"/>
  <c r="H8" i="13" s="1"/>
  <c r="O16" i="13"/>
  <c r="P26" i="13"/>
  <c r="Q11" i="1" s="1"/>
  <c r="L10" i="12"/>
  <c r="H11" i="12"/>
  <c r="F19" i="12"/>
  <c r="H19" i="12" s="1"/>
  <c r="J19" i="12"/>
  <c r="L19" i="12" s="1"/>
  <c r="N20" i="12"/>
  <c r="N21" i="12"/>
  <c r="P21" i="12" s="1"/>
  <c r="R21" i="12" s="1"/>
  <c r="K24" i="12"/>
  <c r="L24" i="12" s="1"/>
  <c r="C23" i="12"/>
  <c r="F25" i="12"/>
  <c r="L4" i="12"/>
  <c r="H4" i="12"/>
  <c r="L14" i="12"/>
  <c r="H14" i="12"/>
  <c r="L16" i="12"/>
  <c r="H16" i="12"/>
  <c r="J17" i="12"/>
  <c r="T16" i="12"/>
  <c r="G25" i="12"/>
  <c r="K25" i="12"/>
  <c r="L25" i="12" s="1"/>
  <c r="H26" i="12"/>
  <c r="F15" i="12"/>
  <c r="H15" i="12" s="1"/>
  <c r="J15" i="12"/>
  <c r="L15" i="12" s="1"/>
  <c r="K3" i="12"/>
  <c r="H3" i="12"/>
  <c r="K11" i="12"/>
  <c r="L11" i="12" s="1"/>
  <c r="L20" i="12"/>
  <c r="H20" i="12"/>
  <c r="D23" i="12"/>
  <c r="D17" i="12"/>
  <c r="L22" i="11"/>
  <c r="F23" i="11"/>
  <c r="J23" i="11"/>
  <c r="T22" i="11"/>
  <c r="V22" i="11" s="1"/>
  <c r="L26" i="11"/>
  <c r="L8" i="11"/>
  <c r="O16" i="11"/>
  <c r="Q20" i="11"/>
  <c r="F17" i="11"/>
  <c r="D23" i="11"/>
  <c r="K24" i="11"/>
  <c r="L24" i="11" s="1"/>
  <c r="K10" i="11"/>
  <c r="L10" i="11" s="1"/>
  <c r="K11" i="11"/>
  <c r="L11" i="11" s="1"/>
  <c r="K3" i="11"/>
  <c r="H4" i="11"/>
  <c r="L4" i="11"/>
  <c r="H14" i="11"/>
  <c r="J15" i="11"/>
  <c r="L15" i="11" s="1"/>
  <c r="H16" i="11"/>
  <c r="T16" i="11"/>
  <c r="J19" i="11"/>
  <c r="L19" i="11" s="1"/>
  <c r="F25" i="11"/>
  <c r="H25" i="11" s="1"/>
  <c r="K25" i="11"/>
  <c r="L25" i="11" s="1"/>
  <c r="O26" i="11"/>
  <c r="Q26" i="11" s="1"/>
  <c r="H3" i="11"/>
  <c r="J7" i="10"/>
  <c r="L7" i="10" s="1"/>
  <c r="F7" i="10"/>
  <c r="H7" i="10" s="1"/>
  <c r="G15" i="10"/>
  <c r="K15" i="10"/>
  <c r="L15" i="10" s="1"/>
  <c r="L20" i="10"/>
  <c r="J4" i="10"/>
  <c r="H3" i="10"/>
  <c r="G17" i="10"/>
  <c r="O16" i="10"/>
  <c r="K17" i="10"/>
  <c r="U16" i="10"/>
  <c r="L13" i="10"/>
  <c r="H13" i="10"/>
  <c r="H15" i="10"/>
  <c r="L6" i="10"/>
  <c r="H11" i="10"/>
  <c r="L26" i="10"/>
  <c r="K9" i="10"/>
  <c r="L9" i="10" s="1"/>
  <c r="K19" i="10"/>
  <c r="L19" i="10" s="1"/>
  <c r="C23" i="10"/>
  <c r="G23" i="10"/>
  <c r="F20" i="10"/>
  <c r="F26" i="10"/>
  <c r="J3" i="10"/>
  <c r="K4" i="10"/>
  <c r="F8" i="10"/>
  <c r="H8" i="10" s="1"/>
  <c r="P26" i="10"/>
  <c r="Q7" i="1" s="1"/>
  <c r="L26" i="9"/>
  <c r="L8" i="9"/>
  <c r="L19" i="9"/>
  <c r="L20" i="9"/>
  <c r="F8" i="9"/>
  <c r="H8" i="9" s="1"/>
  <c r="F10" i="9"/>
  <c r="H10" i="9" s="1"/>
  <c r="F11" i="9"/>
  <c r="H11" i="9" s="1"/>
  <c r="L12" i="9"/>
  <c r="J3" i="9"/>
  <c r="K4" i="9"/>
  <c r="K3" i="9"/>
  <c r="H4" i="9"/>
  <c r="H16" i="9"/>
  <c r="D17" i="9"/>
  <c r="K18" i="9"/>
  <c r="L18" i="9" s="1"/>
  <c r="G24" i="9"/>
  <c r="H24" i="9" s="1"/>
  <c r="H22" i="9"/>
  <c r="D23" i="9"/>
  <c r="H25" i="8"/>
  <c r="L20" i="8"/>
  <c r="L26" i="8"/>
  <c r="L8" i="8"/>
  <c r="H20" i="8"/>
  <c r="H26" i="8"/>
  <c r="K3" i="8"/>
  <c r="H4" i="8"/>
  <c r="H14" i="8"/>
  <c r="J15" i="8"/>
  <c r="L15" i="8" s="1"/>
  <c r="H16" i="8"/>
  <c r="L16" i="8"/>
  <c r="T16" i="8"/>
  <c r="D17" i="8"/>
  <c r="K18" i="8"/>
  <c r="L18" i="8" s="1"/>
  <c r="J19" i="8"/>
  <c r="G24" i="8"/>
  <c r="H24" i="8" s="1"/>
  <c r="K25" i="8"/>
  <c r="L25" i="8" s="1"/>
  <c r="H3" i="8"/>
  <c r="J17" i="8"/>
  <c r="H22" i="8"/>
  <c r="D23" i="8"/>
  <c r="L22" i="4"/>
  <c r="L8" i="4"/>
  <c r="G10" i="4"/>
  <c r="H10" i="4" s="1"/>
  <c r="G11" i="4"/>
  <c r="T16" i="4"/>
  <c r="Q20" i="4"/>
  <c r="C10" i="1" s="1"/>
  <c r="AF10" i="1" s="1"/>
  <c r="F25" i="4"/>
  <c r="H25" i="4" s="1"/>
  <c r="H3" i="4"/>
  <c r="F7" i="4"/>
  <c r="H7" i="4" s="1"/>
  <c r="K9" i="4"/>
  <c r="L9" i="4" s="1"/>
  <c r="L20" i="4"/>
  <c r="C23" i="4"/>
  <c r="L26" i="4"/>
  <c r="L15" i="4"/>
  <c r="U22" i="4"/>
  <c r="W22" i="4" s="1"/>
  <c r="P26" i="4"/>
  <c r="P27" i="4"/>
  <c r="R27" i="4" s="1"/>
  <c r="K3" i="4"/>
  <c r="L15" i="19" l="1"/>
  <c r="H25" i="27"/>
  <c r="L19" i="15"/>
  <c r="H19" i="9"/>
  <c r="AK38" i="1"/>
  <c r="H10" i="15"/>
  <c r="U22" i="22"/>
  <c r="W22" i="22" s="1"/>
  <c r="H17" i="10"/>
  <c r="L17" i="10"/>
  <c r="L4" i="9"/>
  <c r="H10" i="32"/>
  <c r="H26" i="20"/>
  <c r="L26" i="20"/>
  <c r="AB24" i="1"/>
  <c r="M38" i="1"/>
  <c r="Y20" i="1"/>
  <c r="Y38" i="1" s="1"/>
  <c r="H20" i="9"/>
  <c r="L15" i="15"/>
  <c r="H20" i="15"/>
  <c r="L15" i="18"/>
  <c r="U22" i="20"/>
  <c r="W22" i="20" s="1"/>
  <c r="O22" i="20"/>
  <c r="Q22" i="20" s="1"/>
  <c r="L4" i="22"/>
  <c r="U16" i="22"/>
  <c r="H15" i="24"/>
  <c r="K17" i="32"/>
  <c r="L17" i="32" s="1"/>
  <c r="U16" i="32"/>
  <c r="H10" i="18"/>
  <c r="H11" i="4"/>
  <c r="J23" i="9"/>
  <c r="L3" i="18"/>
  <c r="G23" i="23"/>
  <c r="K23" i="23"/>
  <c r="L15" i="32"/>
  <c r="H17" i="28"/>
  <c r="F23" i="9"/>
  <c r="N22" i="9"/>
  <c r="P22" i="9" s="1"/>
  <c r="L15" i="17"/>
  <c r="G23" i="20"/>
  <c r="H20" i="21"/>
  <c r="O16" i="32"/>
  <c r="T16" i="32"/>
  <c r="F17" i="32"/>
  <c r="AD11" i="1"/>
  <c r="N22" i="11"/>
  <c r="P22" i="11" s="1"/>
  <c r="AD37" i="1"/>
  <c r="N22" i="25"/>
  <c r="P22" i="25" s="1"/>
  <c r="AD19" i="1"/>
  <c r="AC31" i="1"/>
  <c r="AD36" i="1"/>
  <c r="O22" i="13"/>
  <c r="Q22" i="13" s="1"/>
  <c r="Q15" i="1"/>
  <c r="AC15" i="1" s="1"/>
  <c r="V16" i="22"/>
  <c r="V16" i="18"/>
  <c r="AD8" i="1"/>
  <c r="AD32" i="1"/>
  <c r="AD35" i="1"/>
  <c r="AD6" i="1"/>
  <c r="V22" i="26"/>
  <c r="AP15" i="1"/>
  <c r="AO38" i="1"/>
  <c r="AP38" i="1" s="1"/>
  <c r="AD10" i="1"/>
  <c r="AD29" i="1"/>
  <c r="AD27" i="1"/>
  <c r="AD25" i="1"/>
  <c r="AD23" i="1"/>
  <c r="AD12" i="1"/>
  <c r="AD9" i="1"/>
  <c r="AD28" i="1"/>
  <c r="AD24" i="1"/>
  <c r="AD5" i="1"/>
  <c r="AD7" i="1"/>
  <c r="AD31" i="1"/>
  <c r="AD26" i="1"/>
  <c r="AD33" i="1"/>
  <c r="AD15" i="1"/>
  <c r="AB21" i="1"/>
  <c r="V22" i="31"/>
  <c r="W22" i="30"/>
  <c r="V22" i="30"/>
  <c r="V22" i="29"/>
  <c r="V16" i="10"/>
  <c r="V22" i="9"/>
  <c r="AH36" i="1"/>
  <c r="AC36" i="1"/>
  <c r="T22" i="27"/>
  <c r="J23" i="27"/>
  <c r="H26" i="26"/>
  <c r="AU38" i="1"/>
  <c r="E38" i="1"/>
  <c r="H11" i="19"/>
  <c r="O16" i="18"/>
  <c r="Q16" i="18" s="1"/>
  <c r="U16" i="18"/>
  <c r="W16" i="18" s="1"/>
  <c r="AM38" i="1"/>
  <c r="AN38" i="1" s="1"/>
  <c r="AQ38" i="1"/>
  <c r="AB5" i="1"/>
  <c r="N22" i="24"/>
  <c r="P22" i="24" s="1"/>
  <c r="AF5" i="1"/>
  <c r="Q21" i="1"/>
  <c r="N16" i="28"/>
  <c r="P16" i="28" s="1"/>
  <c r="AC6" i="1"/>
  <c r="R38" i="1"/>
  <c r="AG38" i="1"/>
  <c r="D38" i="1"/>
  <c r="J14" i="1"/>
  <c r="AD14" i="1" s="1"/>
  <c r="N16" i="14"/>
  <c r="N22" i="27"/>
  <c r="P22" i="27" s="1"/>
  <c r="J22" i="1"/>
  <c r="N22" i="14"/>
  <c r="P22" i="14" s="1"/>
  <c r="N16" i="27"/>
  <c r="P16" i="27" s="1"/>
  <c r="J21" i="1"/>
  <c r="J20" i="1"/>
  <c r="H9" i="32"/>
  <c r="B37" i="1"/>
  <c r="AE37" i="1" s="1"/>
  <c r="H26" i="32"/>
  <c r="P37" i="1"/>
  <c r="H20" i="32"/>
  <c r="H37" i="1"/>
  <c r="C8" i="1"/>
  <c r="AF8" i="1" s="1"/>
  <c r="H20" i="13"/>
  <c r="H11" i="1"/>
  <c r="Q35" i="1"/>
  <c r="Q9" i="1"/>
  <c r="H20" i="4"/>
  <c r="H10" i="1"/>
  <c r="H9" i="14"/>
  <c r="B12" i="1"/>
  <c r="AE12" i="1" s="1"/>
  <c r="AH12" i="1" s="1"/>
  <c r="H20" i="22"/>
  <c r="H22" i="1"/>
  <c r="AB22" i="1" s="1"/>
  <c r="AH22" i="1" s="1"/>
  <c r="I12" i="1"/>
  <c r="H20" i="18"/>
  <c r="H17" i="1"/>
  <c r="Q10" i="1"/>
  <c r="H26" i="15"/>
  <c r="P13" i="1"/>
  <c r="AB13" i="1" s="1"/>
  <c r="H26" i="16"/>
  <c r="P14" i="1"/>
  <c r="H20" i="16"/>
  <c r="H14" i="1"/>
  <c r="Q20" i="1"/>
  <c r="C23" i="1"/>
  <c r="AF23" i="1" s="1"/>
  <c r="H20" i="29"/>
  <c r="H34" i="1"/>
  <c r="I5" i="1"/>
  <c r="C14" i="1"/>
  <c r="AF14" i="1" s="1"/>
  <c r="H9" i="28"/>
  <c r="B33" i="1"/>
  <c r="AE33" i="1" s="1"/>
  <c r="AH33" i="1" s="1"/>
  <c r="H9" i="17"/>
  <c r="B15" i="1"/>
  <c r="AE15" i="1" s="1"/>
  <c r="AH15" i="1" s="1"/>
  <c r="AC34" i="1"/>
  <c r="AC30" i="1"/>
  <c r="H26" i="18"/>
  <c r="P17" i="1"/>
  <c r="Q22" i="1"/>
  <c r="U22" i="32"/>
  <c r="W22" i="32" s="1"/>
  <c r="H9" i="8"/>
  <c r="B5" i="1"/>
  <c r="H26" i="4"/>
  <c r="P10" i="1"/>
  <c r="H9" i="15"/>
  <c r="B13" i="1"/>
  <c r="AE13" i="1" s="1"/>
  <c r="H26" i="11"/>
  <c r="P8" i="1"/>
  <c r="H9" i="12"/>
  <c r="B9" i="1"/>
  <c r="AE9" i="1" s="1"/>
  <c r="AH9" i="1" s="1"/>
  <c r="H26" i="23"/>
  <c r="P23" i="1"/>
  <c r="AB23" i="1" s="1"/>
  <c r="AH23" i="1" s="1"/>
  <c r="H9" i="24"/>
  <c r="B24" i="1"/>
  <c r="AE24" i="1" s="1"/>
  <c r="AH24" i="1" s="1"/>
  <c r="H9" i="26"/>
  <c r="B31" i="1"/>
  <c r="AE31" i="1" s="1"/>
  <c r="AH31" i="1" s="1"/>
  <c r="L3" i="8"/>
  <c r="H26" i="13"/>
  <c r="P11" i="1"/>
  <c r="Q14" i="1"/>
  <c r="Q19" i="1"/>
  <c r="H9" i="19"/>
  <c r="B19" i="1"/>
  <c r="AE19" i="1" s="1"/>
  <c r="AH19" i="1" s="1"/>
  <c r="H9" i="20"/>
  <c r="B20" i="1"/>
  <c r="AE20" i="1" s="1"/>
  <c r="H9" i="21"/>
  <c r="B21" i="1"/>
  <c r="AE21" i="1" s="1"/>
  <c r="H26" i="29"/>
  <c r="P34" i="1"/>
  <c r="L3" i="30"/>
  <c r="H9" i="30"/>
  <c r="B35" i="1"/>
  <c r="AE35" i="1" s="1"/>
  <c r="AH35" i="1" s="1"/>
  <c r="Q26" i="1"/>
  <c r="Q5" i="1"/>
  <c r="Q27" i="1"/>
  <c r="Q28" i="1"/>
  <c r="Q25" i="1"/>
  <c r="Q29" i="1"/>
  <c r="H20" i="11"/>
  <c r="H8" i="1"/>
  <c r="I8" i="1"/>
  <c r="AC8" i="1" s="1"/>
  <c r="Q12" i="1"/>
  <c r="Q13" i="1"/>
  <c r="AC13" i="1" s="1"/>
  <c r="Q17" i="1"/>
  <c r="AC17" i="1" s="1"/>
  <c r="H9" i="18"/>
  <c r="B17" i="1"/>
  <c r="AE17" i="1" s="1"/>
  <c r="I24" i="1"/>
  <c r="AC24" i="1" s="1"/>
  <c r="H9" i="11"/>
  <c r="B8" i="1"/>
  <c r="AE8" i="1" s="1"/>
  <c r="H9" i="25"/>
  <c r="B30" i="1"/>
  <c r="AE30" i="1" s="1"/>
  <c r="AH30" i="1" s="1"/>
  <c r="I32" i="1"/>
  <c r="Q32" i="1"/>
  <c r="H9" i="27"/>
  <c r="B32" i="1"/>
  <c r="AE32" i="1" s="1"/>
  <c r="H26" i="27"/>
  <c r="P32" i="1"/>
  <c r="H20" i="27"/>
  <c r="H32" i="1"/>
  <c r="V16" i="19"/>
  <c r="H9" i="9"/>
  <c r="B6" i="1"/>
  <c r="AE6" i="1" s="1"/>
  <c r="H26" i="9"/>
  <c r="P6" i="1"/>
  <c r="H26" i="10"/>
  <c r="P7" i="1"/>
  <c r="H20" i="10"/>
  <c r="H7" i="1"/>
  <c r="L25" i="14"/>
  <c r="O16" i="4"/>
  <c r="Q16" i="4" s="1"/>
  <c r="H11" i="23"/>
  <c r="J17" i="9"/>
  <c r="T16" i="9"/>
  <c r="N16" i="9"/>
  <c r="G23" i="32"/>
  <c r="K23" i="30"/>
  <c r="L23" i="30" s="1"/>
  <c r="L25" i="19"/>
  <c r="T22" i="25"/>
  <c r="V22" i="25" s="1"/>
  <c r="J23" i="25"/>
  <c r="L3" i="23"/>
  <c r="H11" i="14"/>
  <c r="H17" i="32"/>
  <c r="L19" i="8"/>
  <c r="H15" i="9"/>
  <c r="O22" i="4"/>
  <c r="Q22" i="4" s="1"/>
  <c r="G23" i="4"/>
  <c r="O22" i="32"/>
  <c r="Q22" i="32" s="1"/>
  <c r="O16" i="30"/>
  <c r="Q16" i="30" s="1"/>
  <c r="T16" i="30"/>
  <c r="J17" i="30"/>
  <c r="L17" i="30" s="1"/>
  <c r="F17" i="30"/>
  <c r="H17" i="30" s="1"/>
  <c r="N22" i="29"/>
  <c r="P22" i="29" s="1"/>
  <c r="L15" i="28"/>
  <c r="L19" i="28"/>
  <c r="N16" i="24"/>
  <c r="O16" i="23"/>
  <c r="Q16" i="23" s="1"/>
  <c r="J17" i="23"/>
  <c r="L17" i="23" s="1"/>
  <c r="F17" i="23"/>
  <c r="H17" i="23" s="1"/>
  <c r="G17" i="22"/>
  <c r="H17" i="22" s="1"/>
  <c r="K17" i="22"/>
  <c r="L17" i="22" s="1"/>
  <c r="V16" i="21"/>
  <c r="U16" i="21"/>
  <c r="K17" i="21"/>
  <c r="L23" i="21"/>
  <c r="J17" i="21"/>
  <c r="F17" i="21"/>
  <c r="H17" i="21" s="1"/>
  <c r="G17" i="20"/>
  <c r="K17" i="20"/>
  <c r="J17" i="20"/>
  <c r="F17" i="20"/>
  <c r="G23" i="19"/>
  <c r="H23" i="19" s="1"/>
  <c r="K23" i="19"/>
  <c r="L23" i="19" s="1"/>
  <c r="N22" i="18"/>
  <c r="P22" i="18" s="1"/>
  <c r="N22" i="17"/>
  <c r="P22" i="17" s="1"/>
  <c r="L17" i="17"/>
  <c r="F17" i="17"/>
  <c r="H17" i="17" s="1"/>
  <c r="T16" i="17"/>
  <c r="N22" i="16"/>
  <c r="P22" i="16" s="1"/>
  <c r="U22" i="16"/>
  <c r="W22" i="16" s="1"/>
  <c r="K23" i="16"/>
  <c r="L23" i="16" s="1"/>
  <c r="O22" i="16"/>
  <c r="Q22" i="16" s="1"/>
  <c r="G23" i="16"/>
  <c r="H23" i="16" s="1"/>
  <c r="T16" i="13"/>
  <c r="J17" i="13"/>
  <c r="L17" i="13" s="1"/>
  <c r="F17" i="13"/>
  <c r="H17" i="13" s="1"/>
  <c r="N22" i="15"/>
  <c r="P22" i="15" s="1"/>
  <c r="J17" i="4"/>
  <c r="F17" i="4"/>
  <c r="G17" i="4"/>
  <c r="K17" i="4"/>
  <c r="N16" i="11"/>
  <c r="L3" i="11"/>
  <c r="U16" i="11"/>
  <c r="K17" i="11"/>
  <c r="L17" i="11" s="1"/>
  <c r="G17" i="11"/>
  <c r="H17" i="11" s="1"/>
  <c r="U22" i="10"/>
  <c r="K23" i="10"/>
  <c r="N22" i="8"/>
  <c r="P22" i="8" s="1"/>
  <c r="N16" i="8"/>
  <c r="T22" i="8"/>
  <c r="J23" i="8"/>
  <c r="F23" i="32"/>
  <c r="N22" i="32"/>
  <c r="P22" i="32" s="1"/>
  <c r="J23" i="32"/>
  <c r="L23" i="32" s="1"/>
  <c r="T22" i="32"/>
  <c r="L3" i="32"/>
  <c r="N16" i="32"/>
  <c r="P20" i="32"/>
  <c r="G23" i="31"/>
  <c r="H23" i="31" s="1"/>
  <c r="O22" i="31"/>
  <c r="Q22" i="31" s="1"/>
  <c r="K23" i="31"/>
  <c r="L23" i="31" s="1"/>
  <c r="U22" i="31"/>
  <c r="V16" i="31"/>
  <c r="P16" i="31"/>
  <c r="L4" i="31"/>
  <c r="L3" i="31"/>
  <c r="K17" i="31"/>
  <c r="L17" i="31" s="1"/>
  <c r="U16" i="31"/>
  <c r="G17" i="31"/>
  <c r="H17" i="31" s="1"/>
  <c r="O16" i="31"/>
  <c r="L4" i="30"/>
  <c r="N22" i="30"/>
  <c r="P22" i="30" s="1"/>
  <c r="W16" i="30"/>
  <c r="N16" i="30"/>
  <c r="P20" i="30"/>
  <c r="U16" i="29"/>
  <c r="G17" i="29"/>
  <c r="H17" i="29" s="1"/>
  <c r="O16" i="29"/>
  <c r="K17" i="29"/>
  <c r="L17" i="29" s="1"/>
  <c r="G23" i="29"/>
  <c r="H23" i="29" s="1"/>
  <c r="O22" i="29"/>
  <c r="Q22" i="29" s="1"/>
  <c r="K23" i="29"/>
  <c r="L23" i="29" s="1"/>
  <c r="U22" i="29"/>
  <c r="P16" i="29"/>
  <c r="L3" i="29"/>
  <c r="W16" i="28"/>
  <c r="G23" i="28"/>
  <c r="H23" i="28" s="1"/>
  <c r="O22" i="28"/>
  <c r="K23" i="28"/>
  <c r="L23" i="28" s="1"/>
  <c r="U22" i="28"/>
  <c r="V16" i="28"/>
  <c r="L4" i="28"/>
  <c r="K23" i="27"/>
  <c r="G23" i="27"/>
  <c r="H23" i="27" s="1"/>
  <c r="O22" i="27"/>
  <c r="Q22" i="27" s="1"/>
  <c r="U22" i="27"/>
  <c r="W22" i="27" s="1"/>
  <c r="L4" i="27"/>
  <c r="U16" i="27"/>
  <c r="G17" i="27"/>
  <c r="H17" i="27" s="1"/>
  <c r="O16" i="27"/>
  <c r="K17" i="27"/>
  <c r="L17" i="27" s="1"/>
  <c r="L3" i="27"/>
  <c r="U16" i="26"/>
  <c r="G17" i="26"/>
  <c r="H17" i="26" s="1"/>
  <c r="O16" i="26"/>
  <c r="K17" i="26"/>
  <c r="L17" i="26" s="1"/>
  <c r="G23" i="26"/>
  <c r="H23" i="26" s="1"/>
  <c r="O22" i="26"/>
  <c r="Q22" i="26" s="1"/>
  <c r="K23" i="26"/>
  <c r="L23" i="26" s="1"/>
  <c r="U22" i="26"/>
  <c r="P16" i="26"/>
  <c r="V16" i="26"/>
  <c r="V16" i="25"/>
  <c r="G23" i="25"/>
  <c r="H23" i="25" s="1"/>
  <c r="O22" i="25"/>
  <c r="Q22" i="25" s="1"/>
  <c r="K23" i="25"/>
  <c r="U22" i="25"/>
  <c r="W22" i="25" s="1"/>
  <c r="P16" i="25"/>
  <c r="L3" i="25"/>
  <c r="K17" i="25"/>
  <c r="L17" i="25" s="1"/>
  <c r="U16" i="25"/>
  <c r="G17" i="25"/>
  <c r="H17" i="25" s="1"/>
  <c r="O16" i="25"/>
  <c r="G23" i="24"/>
  <c r="H23" i="24" s="1"/>
  <c r="O22" i="24"/>
  <c r="Q22" i="24" s="1"/>
  <c r="U22" i="24"/>
  <c r="W22" i="24" s="1"/>
  <c r="K23" i="24"/>
  <c r="L23" i="24" s="1"/>
  <c r="L3" i="24"/>
  <c r="K17" i="24"/>
  <c r="L17" i="24" s="1"/>
  <c r="U16" i="24"/>
  <c r="G17" i="24"/>
  <c r="H17" i="24" s="1"/>
  <c r="O16" i="24"/>
  <c r="V16" i="24"/>
  <c r="N16" i="23"/>
  <c r="P20" i="23"/>
  <c r="V16" i="23"/>
  <c r="O22" i="23"/>
  <c r="Q22" i="23" s="1"/>
  <c r="J23" i="23"/>
  <c r="L23" i="23" s="1"/>
  <c r="T22" i="23"/>
  <c r="F23" i="23"/>
  <c r="N22" i="23"/>
  <c r="P22" i="23" s="1"/>
  <c r="W16" i="23"/>
  <c r="N16" i="22"/>
  <c r="P20" i="22"/>
  <c r="W16" i="22"/>
  <c r="Q16" i="22"/>
  <c r="F23" i="22"/>
  <c r="H23" i="22" s="1"/>
  <c r="N22" i="22"/>
  <c r="P22" i="22" s="1"/>
  <c r="J23" i="22"/>
  <c r="L23" i="22" s="1"/>
  <c r="T22" i="22"/>
  <c r="L3" i="22"/>
  <c r="P20" i="21"/>
  <c r="N16" i="21"/>
  <c r="Q16" i="21"/>
  <c r="N22" i="21"/>
  <c r="P22" i="21" s="1"/>
  <c r="L3" i="21"/>
  <c r="N16" i="20"/>
  <c r="P20" i="20"/>
  <c r="L3" i="20"/>
  <c r="W16" i="20"/>
  <c r="Q16" i="20"/>
  <c r="F23" i="20"/>
  <c r="H23" i="20" s="1"/>
  <c r="N22" i="20"/>
  <c r="P22" i="20" s="1"/>
  <c r="J23" i="20"/>
  <c r="L23" i="20" s="1"/>
  <c r="T22" i="20"/>
  <c r="N16" i="19"/>
  <c r="P20" i="19"/>
  <c r="N22" i="19"/>
  <c r="P22" i="19" s="1"/>
  <c r="W16" i="19"/>
  <c r="Q16" i="19"/>
  <c r="K23" i="18"/>
  <c r="L23" i="18" s="1"/>
  <c r="U22" i="18"/>
  <c r="G23" i="18"/>
  <c r="H23" i="18" s="1"/>
  <c r="O22" i="18"/>
  <c r="Q22" i="18" s="1"/>
  <c r="L4" i="18"/>
  <c r="L17" i="18"/>
  <c r="P16" i="18"/>
  <c r="Q16" i="17"/>
  <c r="U22" i="17"/>
  <c r="G23" i="17"/>
  <c r="H23" i="17" s="1"/>
  <c r="O22" i="17"/>
  <c r="Q22" i="17" s="1"/>
  <c r="K23" i="17"/>
  <c r="L23" i="17" s="1"/>
  <c r="P16" i="17"/>
  <c r="W16" i="17"/>
  <c r="L4" i="17"/>
  <c r="U16" i="16"/>
  <c r="G17" i="16"/>
  <c r="H17" i="16" s="1"/>
  <c r="O16" i="16"/>
  <c r="K17" i="16"/>
  <c r="L17" i="16" s="1"/>
  <c r="L3" i="16"/>
  <c r="P20" i="16"/>
  <c r="N16" i="16"/>
  <c r="L4" i="16"/>
  <c r="U16" i="15"/>
  <c r="G17" i="15"/>
  <c r="H17" i="15" s="1"/>
  <c r="O16" i="15"/>
  <c r="K17" i="15"/>
  <c r="L17" i="15" s="1"/>
  <c r="P16" i="15"/>
  <c r="V16" i="15"/>
  <c r="G23" i="15"/>
  <c r="H23" i="15" s="1"/>
  <c r="O22" i="15"/>
  <c r="Q22" i="15" s="1"/>
  <c r="K23" i="15"/>
  <c r="L23" i="15" s="1"/>
  <c r="U22" i="15"/>
  <c r="W22" i="15" s="1"/>
  <c r="U22" i="14"/>
  <c r="W22" i="14" s="1"/>
  <c r="G23" i="14"/>
  <c r="H23" i="14" s="1"/>
  <c r="O22" i="14"/>
  <c r="Q22" i="14" s="1"/>
  <c r="K23" i="14"/>
  <c r="L23" i="14" s="1"/>
  <c r="K17" i="14"/>
  <c r="L17" i="14" s="1"/>
  <c r="U16" i="14"/>
  <c r="G17" i="14"/>
  <c r="H17" i="14" s="1"/>
  <c r="O16" i="14"/>
  <c r="V16" i="14"/>
  <c r="L4" i="14"/>
  <c r="L4" i="13"/>
  <c r="Q16" i="13"/>
  <c r="L3" i="13"/>
  <c r="F23" i="13"/>
  <c r="H23" i="13" s="1"/>
  <c r="N22" i="13"/>
  <c r="P22" i="13" s="1"/>
  <c r="J23" i="13"/>
  <c r="L23" i="13" s="1"/>
  <c r="T22" i="13"/>
  <c r="W16" i="13"/>
  <c r="N16" i="13"/>
  <c r="P20" i="13"/>
  <c r="U16" i="12"/>
  <c r="O16" i="12"/>
  <c r="K17" i="12"/>
  <c r="L17" i="12" s="1"/>
  <c r="G17" i="12"/>
  <c r="H17" i="12" s="1"/>
  <c r="V16" i="12"/>
  <c r="H25" i="12"/>
  <c r="G23" i="12"/>
  <c r="O22" i="12"/>
  <c r="Q22" i="12" s="1"/>
  <c r="K23" i="12"/>
  <c r="U22" i="12"/>
  <c r="W22" i="12" s="1"/>
  <c r="L3" i="12"/>
  <c r="F23" i="12"/>
  <c r="N22" i="12"/>
  <c r="P22" i="12" s="1"/>
  <c r="T22" i="12"/>
  <c r="J23" i="12"/>
  <c r="P20" i="12"/>
  <c r="N16" i="12"/>
  <c r="V16" i="11"/>
  <c r="G23" i="11"/>
  <c r="H23" i="11" s="1"/>
  <c r="O22" i="11"/>
  <c r="K23" i="11"/>
  <c r="L23" i="11" s="1"/>
  <c r="U22" i="11"/>
  <c r="Q16" i="11"/>
  <c r="W16" i="10"/>
  <c r="L4" i="10"/>
  <c r="F23" i="10"/>
  <c r="H23" i="10" s="1"/>
  <c r="N22" i="10"/>
  <c r="P22" i="10" s="1"/>
  <c r="J23" i="10"/>
  <c r="L23" i="10" s="1"/>
  <c r="T22" i="10"/>
  <c r="L3" i="10"/>
  <c r="N16" i="10"/>
  <c r="P20" i="10"/>
  <c r="I7" i="1" s="1"/>
  <c r="AC7" i="1" s="1"/>
  <c r="Q16" i="10"/>
  <c r="L3" i="9"/>
  <c r="G23" i="9"/>
  <c r="H23" i="9" s="1"/>
  <c r="O22" i="9"/>
  <c r="Q22" i="9" s="1"/>
  <c r="K23" i="9"/>
  <c r="U22" i="9"/>
  <c r="K17" i="9"/>
  <c r="L17" i="9" s="1"/>
  <c r="U16" i="9"/>
  <c r="G17" i="9"/>
  <c r="H17" i="9" s="1"/>
  <c r="O16" i="9"/>
  <c r="G23" i="8"/>
  <c r="H23" i="8" s="1"/>
  <c r="O22" i="8"/>
  <c r="Q22" i="8" s="1"/>
  <c r="K23" i="8"/>
  <c r="U22" i="8"/>
  <c r="W22" i="8" s="1"/>
  <c r="O16" i="8"/>
  <c r="K17" i="8"/>
  <c r="L17" i="8" s="1"/>
  <c r="U16" i="8"/>
  <c r="G17" i="8"/>
  <c r="H17" i="8" s="1"/>
  <c r="V16" i="8"/>
  <c r="N16" i="4"/>
  <c r="P20" i="4"/>
  <c r="V16" i="4"/>
  <c r="F23" i="4"/>
  <c r="J23" i="4"/>
  <c r="L23" i="4" s="1"/>
  <c r="T22" i="4"/>
  <c r="V22" i="4" s="1"/>
  <c r="N22" i="4"/>
  <c r="P22" i="4" s="1"/>
  <c r="W16" i="4"/>
  <c r="L3" i="4"/>
  <c r="H17" i="20" l="1"/>
  <c r="L23" i="27"/>
  <c r="AH20" i="1"/>
  <c r="L23" i="9"/>
  <c r="W16" i="32"/>
  <c r="V16" i="32"/>
  <c r="Q16" i="32"/>
  <c r="AH21" i="1"/>
  <c r="L23" i="8"/>
  <c r="H17" i="4"/>
  <c r="H23" i="23"/>
  <c r="V22" i="27"/>
  <c r="P16" i="11"/>
  <c r="V16" i="13"/>
  <c r="V16" i="9"/>
  <c r="W16" i="11"/>
  <c r="P16" i="14"/>
  <c r="W22" i="26"/>
  <c r="AB32" i="1"/>
  <c r="AH32" i="1" s="1"/>
  <c r="AD20" i="1"/>
  <c r="AD22" i="1"/>
  <c r="AD21" i="1"/>
  <c r="AB14" i="1"/>
  <c r="AH14" i="1" s="1"/>
  <c r="P38" i="1"/>
  <c r="W22" i="31"/>
  <c r="W22" i="29"/>
  <c r="W22" i="9"/>
  <c r="H38" i="1"/>
  <c r="L23" i="25"/>
  <c r="J38" i="1"/>
  <c r="AC12" i="1"/>
  <c r="AB8" i="1"/>
  <c r="AH8" i="1" s="1"/>
  <c r="AE5" i="1"/>
  <c r="AE38" i="1" s="1"/>
  <c r="B38" i="1"/>
  <c r="AC32" i="1"/>
  <c r="Q38" i="1"/>
  <c r="AF38" i="1"/>
  <c r="C38" i="1"/>
  <c r="P16" i="8"/>
  <c r="AB37" i="1"/>
  <c r="AH37" i="1" s="1"/>
  <c r="I37" i="1"/>
  <c r="AC37" i="1" s="1"/>
  <c r="H23" i="32"/>
  <c r="I9" i="1"/>
  <c r="AC9" i="1" s="1"/>
  <c r="I14" i="1"/>
  <c r="AC14" i="1" s="1"/>
  <c r="I21" i="1"/>
  <c r="AC21" i="1" s="1"/>
  <c r="I23" i="1"/>
  <c r="AC23" i="1" s="1"/>
  <c r="I22" i="1"/>
  <c r="AC22" i="1" s="1"/>
  <c r="AH13" i="1"/>
  <c r="AC5" i="1"/>
  <c r="AB34" i="1"/>
  <c r="AH34" i="1" s="1"/>
  <c r="I20" i="1"/>
  <c r="AC20" i="1" s="1"/>
  <c r="I11" i="1"/>
  <c r="AC11" i="1" s="1"/>
  <c r="I19" i="1"/>
  <c r="AC19" i="1" s="1"/>
  <c r="I35" i="1"/>
  <c r="AC35" i="1" s="1"/>
  <c r="AB17" i="1"/>
  <c r="AH17" i="1" s="1"/>
  <c r="AB10" i="1"/>
  <c r="AH10" i="1" s="1"/>
  <c r="I10" i="1"/>
  <c r="AC10" i="1" s="1"/>
  <c r="AB11" i="1"/>
  <c r="AH11" i="1" s="1"/>
  <c r="AB6" i="1"/>
  <c r="AH6" i="1" s="1"/>
  <c r="AB7" i="1"/>
  <c r="AH7" i="1" s="1"/>
  <c r="H23" i="4"/>
  <c r="P16" i="9"/>
  <c r="P16" i="24"/>
  <c r="L17" i="21"/>
  <c r="L17" i="20"/>
  <c r="V16" i="30"/>
  <c r="W16" i="21"/>
  <c r="V16" i="17"/>
  <c r="L17" i="4"/>
  <c r="W22" i="10"/>
  <c r="V22" i="8"/>
  <c r="P16" i="32"/>
  <c r="V22" i="32"/>
  <c r="W16" i="31"/>
  <c r="Q16" i="31"/>
  <c r="P16" i="30"/>
  <c r="W16" i="29"/>
  <c r="Q16" i="29"/>
  <c r="W22" i="28"/>
  <c r="Q22" i="28"/>
  <c r="Q16" i="27"/>
  <c r="W16" i="27"/>
  <c r="Q16" i="26"/>
  <c r="W16" i="26"/>
  <c r="Q16" i="25"/>
  <c r="W16" i="25"/>
  <c r="W16" i="24"/>
  <c r="Q16" i="24"/>
  <c r="V22" i="23"/>
  <c r="P16" i="23"/>
  <c r="V22" i="22"/>
  <c r="P16" i="22"/>
  <c r="P16" i="21"/>
  <c r="V22" i="20"/>
  <c r="P16" i="20"/>
  <c r="P16" i="19"/>
  <c r="W22" i="18"/>
  <c r="W22" i="17"/>
  <c r="P16" i="16"/>
  <c r="Q16" i="16"/>
  <c r="W16" i="16"/>
  <c r="W16" i="15"/>
  <c r="Q16" i="15"/>
  <c r="W16" i="14"/>
  <c r="Q16" i="14"/>
  <c r="P16" i="13"/>
  <c r="V22" i="13"/>
  <c r="V22" i="12"/>
  <c r="P16" i="12"/>
  <c r="H23" i="12"/>
  <c r="W16" i="12"/>
  <c r="L23" i="12"/>
  <c r="Q16" i="12"/>
  <c r="W22" i="11"/>
  <c r="Q22" i="11"/>
  <c r="P16" i="10"/>
  <c r="V22" i="10"/>
  <c r="Q16" i="9"/>
  <c r="W16" i="9"/>
  <c r="W16" i="8"/>
  <c r="Q16" i="8"/>
  <c r="P16" i="4"/>
  <c r="AD38" i="1" l="1"/>
  <c r="AH5" i="1"/>
  <c r="AB38" i="1"/>
  <c r="AC38" i="1"/>
  <c r="I38" i="1"/>
  <c r="AH38" i="1" l="1"/>
  <c r="B7" i="2" l="1"/>
  <c r="B6" i="2"/>
  <c r="B5" i="2"/>
  <c r="B4" i="2"/>
  <c r="B3" i="2"/>
  <c r="B2" i="2"/>
  <c r="S26" i="8" l="1"/>
  <c r="M26" i="8"/>
  <c r="S26" i="26"/>
  <c r="M26" i="26"/>
  <c r="M20" i="13"/>
  <c r="S20" i="13"/>
  <c r="S28" i="22"/>
  <c r="U22" i="1" s="1"/>
  <c r="X29" i="22"/>
  <c r="X28" i="22" s="1"/>
  <c r="M26" i="13"/>
  <c r="S26" i="13"/>
  <c r="S26" i="29"/>
  <c r="S26" i="28"/>
  <c r="M26" i="33"/>
  <c r="S26" i="33"/>
  <c r="S26" i="30"/>
  <c r="M26" i="27"/>
  <c r="M26" i="18"/>
  <c r="M26" i="15"/>
  <c r="S26" i="12"/>
  <c r="M26" i="29"/>
  <c r="S26" i="25"/>
  <c r="S26" i="14"/>
  <c r="S26" i="11"/>
  <c r="M26" i="31"/>
  <c r="M26" i="28"/>
  <c r="S26" i="24"/>
  <c r="S26" i="23"/>
  <c r="S26" i="18"/>
  <c r="S26" i="15"/>
  <c r="M26" i="14"/>
  <c r="S26" i="17"/>
  <c r="S26" i="31"/>
  <c r="S26" i="27"/>
  <c r="M26" i="23"/>
  <c r="S26" i="21"/>
  <c r="S26" i="19"/>
  <c r="M26" i="21"/>
  <c r="M26" i="25"/>
  <c r="M26" i="11"/>
  <c r="M26" i="12"/>
  <c r="M26" i="19"/>
  <c r="M26" i="30"/>
  <c r="M26" i="24"/>
  <c r="S20" i="10"/>
  <c r="M20" i="10"/>
  <c r="S20" i="33"/>
  <c r="M20" i="33"/>
  <c r="S20" i="31"/>
  <c r="M20" i="28"/>
  <c r="M20" i="27"/>
  <c r="M20" i="23"/>
  <c r="S20" i="22"/>
  <c r="M20" i="20"/>
  <c r="S20" i="19"/>
  <c r="S20" i="18"/>
  <c r="S20" i="17"/>
  <c r="S20" i="15"/>
  <c r="M20" i="9"/>
  <c r="S20" i="30"/>
  <c r="S20" i="29"/>
  <c r="S20" i="24"/>
  <c r="M20" i="22"/>
  <c r="S20" i="14"/>
  <c r="S20" i="12"/>
  <c r="S20" i="28"/>
  <c r="S20" i="26"/>
  <c r="S20" i="25"/>
  <c r="S20" i="21"/>
  <c r="M20" i="19"/>
  <c r="M20" i="18"/>
  <c r="M20" i="15"/>
  <c r="S20" i="9"/>
  <c r="S20" i="8"/>
  <c r="M20" i="14"/>
  <c r="M20" i="31"/>
  <c r="M20" i="29"/>
  <c r="S20" i="27"/>
  <c r="S20" i="23"/>
  <c r="M20" i="21"/>
  <c r="S20" i="20"/>
  <c r="S20" i="11"/>
  <c r="M20" i="30"/>
  <c r="M20" i="25"/>
  <c r="M20" i="24"/>
  <c r="M20" i="12"/>
  <c r="M20" i="8"/>
  <c r="M20" i="26"/>
  <c r="M20" i="11"/>
  <c r="S29" i="15"/>
  <c r="S26" i="9"/>
  <c r="M26" i="9"/>
  <c r="S26" i="10"/>
  <c r="M26" i="10"/>
  <c r="F11" i="1" l="1"/>
  <c r="M16" i="13"/>
  <c r="R20" i="13"/>
  <c r="G8" i="1"/>
  <c r="S16" i="11"/>
  <c r="X20" i="11"/>
  <c r="F34" i="1"/>
  <c r="R20" i="29"/>
  <c r="M16" i="29"/>
  <c r="F10" i="1"/>
  <c r="M16" i="4"/>
  <c r="R20" i="4"/>
  <c r="G6" i="1"/>
  <c r="X20" i="9"/>
  <c r="S16" i="9"/>
  <c r="F17" i="1"/>
  <c r="M16" i="18"/>
  <c r="R20" i="18"/>
  <c r="G21" i="1"/>
  <c r="X20" i="21"/>
  <c r="S16" i="21"/>
  <c r="G33" i="1"/>
  <c r="X20" i="28"/>
  <c r="S16" i="28"/>
  <c r="G9" i="1"/>
  <c r="S16" i="12"/>
  <c r="X20" i="12"/>
  <c r="G14" i="1"/>
  <c r="S16" i="16"/>
  <c r="X20" i="16"/>
  <c r="G17" i="1"/>
  <c r="S16" i="18"/>
  <c r="X20" i="18"/>
  <c r="F23" i="1"/>
  <c r="M16" i="23"/>
  <c r="R20" i="23"/>
  <c r="N15" i="1"/>
  <c r="R26" i="17"/>
  <c r="M22" i="17"/>
  <c r="M22" i="8"/>
  <c r="R22" i="8" s="1"/>
  <c r="N5" i="1"/>
  <c r="R26" i="8"/>
  <c r="M22" i="21"/>
  <c r="N21" i="1"/>
  <c r="R26" i="21"/>
  <c r="O22" i="1"/>
  <c r="S22" i="22"/>
  <c r="X22" i="22" s="1"/>
  <c r="X26" i="22"/>
  <c r="O14" i="1"/>
  <c r="S22" i="16"/>
  <c r="X22" i="16" s="1"/>
  <c r="X26" i="16"/>
  <c r="O13" i="1"/>
  <c r="X26" i="15"/>
  <c r="S22" i="15"/>
  <c r="X22" i="15" s="1"/>
  <c r="O24" i="1"/>
  <c r="X26" i="24"/>
  <c r="S22" i="24"/>
  <c r="X22" i="24" s="1"/>
  <c r="O11" i="1"/>
  <c r="X26" i="13"/>
  <c r="S22" i="13"/>
  <c r="X22" i="13" s="1"/>
  <c r="N10" i="1"/>
  <c r="M22" i="4"/>
  <c r="R22" i="4" s="1"/>
  <c r="R26" i="4"/>
  <c r="N14" i="1"/>
  <c r="M22" i="16"/>
  <c r="R22" i="16" s="1"/>
  <c r="R26" i="16"/>
  <c r="O35" i="1"/>
  <c r="S22" i="30"/>
  <c r="X22" i="30" s="1"/>
  <c r="X26" i="30"/>
  <c r="O34" i="1"/>
  <c r="X26" i="29"/>
  <c r="S22" i="29"/>
  <c r="X22" i="29" s="1"/>
  <c r="N16" i="1"/>
  <c r="M22" i="34"/>
  <c r="R22" i="34" s="1"/>
  <c r="R26" i="34"/>
  <c r="O6" i="1"/>
  <c r="X26" i="9"/>
  <c r="S22" i="9"/>
  <c r="X22" i="9" s="1"/>
  <c r="R20" i="26"/>
  <c r="M16" i="26"/>
  <c r="F31" i="1"/>
  <c r="R20" i="24"/>
  <c r="M16" i="24"/>
  <c r="F24" i="1"/>
  <c r="G20" i="1"/>
  <c r="S16" i="20"/>
  <c r="X20" i="20"/>
  <c r="G23" i="1"/>
  <c r="S16" i="23"/>
  <c r="X20" i="23"/>
  <c r="G32" i="1"/>
  <c r="X20" i="27"/>
  <c r="S16" i="27"/>
  <c r="F36" i="1"/>
  <c r="R20" i="31"/>
  <c r="M16" i="31"/>
  <c r="F12" i="1"/>
  <c r="R20" i="14"/>
  <c r="M16" i="14"/>
  <c r="G30" i="1"/>
  <c r="X20" i="25"/>
  <c r="S16" i="25"/>
  <c r="G34" i="1"/>
  <c r="X20" i="29"/>
  <c r="S16" i="29"/>
  <c r="F37" i="1"/>
  <c r="M16" i="32"/>
  <c r="R20" i="32"/>
  <c r="G16" i="1"/>
  <c r="X20" i="34"/>
  <c r="S16" i="34"/>
  <c r="N24" i="1"/>
  <c r="M22" i="24"/>
  <c r="R26" i="24"/>
  <c r="M22" i="12"/>
  <c r="N9" i="1"/>
  <c r="R26" i="12"/>
  <c r="N11" i="1"/>
  <c r="M22" i="13"/>
  <c r="R22" i="13" s="1"/>
  <c r="R26" i="13"/>
  <c r="N23" i="1"/>
  <c r="M22" i="23"/>
  <c r="R22" i="23" s="1"/>
  <c r="R26" i="23"/>
  <c r="X26" i="17"/>
  <c r="O15" i="1"/>
  <c r="S22" i="17"/>
  <c r="X22" i="17" s="1"/>
  <c r="X26" i="18"/>
  <c r="O17" i="1"/>
  <c r="S22" i="18"/>
  <c r="X22" i="18" s="1"/>
  <c r="N33" i="1"/>
  <c r="R26" i="28"/>
  <c r="M22" i="28"/>
  <c r="R22" i="28" s="1"/>
  <c r="O12" i="1"/>
  <c r="X26" i="14"/>
  <c r="S22" i="14"/>
  <c r="X22" i="14" s="1"/>
  <c r="O9" i="1"/>
  <c r="X26" i="12"/>
  <c r="S22" i="12"/>
  <c r="X22" i="12" s="1"/>
  <c r="N17" i="1"/>
  <c r="M22" i="18"/>
  <c r="R22" i="18" s="1"/>
  <c r="R26" i="18"/>
  <c r="O18" i="1"/>
  <c r="S22" i="33"/>
  <c r="X22" i="33" s="1"/>
  <c r="X26" i="33"/>
  <c r="O20" i="1"/>
  <c r="X26" i="20"/>
  <c r="S22" i="20"/>
  <c r="X22" i="20" s="1"/>
  <c r="N7" i="1"/>
  <c r="M22" i="10"/>
  <c r="R22" i="10" s="1"/>
  <c r="R26" i="10"/>
  <c r="S28" i="15"/>
  <c r="U13" i="1" s="1"/>
  <c r="U38" i="1" s="1"/>
  <c r="X29" i="15"/>
  <c r="X28" i="15" s="1"/>
  <c r="M16" i="30"/>
  <c r="F35" i="1"/>
  <c r="R20" i="30"/>
  <c r="R20" i="11"/>
  <c r="M16" i="11"/>
  <c r="F8" i="1"/>
  <c r="O16" i="1"/>
  <c r="X26" i="34"/>
  <c r="S22" i="34"/>
  <c r="X22" i="34" s="1"/>
  <c r="O31" i="1"/>
  <c r="X26" i="26"/>
  <c r="S22" i="26"/>
  <c r="X22" i="26" s="1"/>
  <c r="O7" i="1"/>
  <c r="X26" i="10"/>
  <c r="S22" i="10"/>
  <c r="X22" i="10" s="1"/>
  <c r="N31" i="1"/>
  <c r="R26" i="26"/>
  <c r="M22" i="26"/>
  <c r="R22" i="26" s="1"/>
  <c r="F5" i="1"/>
  <c r="R20" i="8"/>
  <c r="M16" i="8"/>
  <c r="F30" i="1"/>
  <c r="R20" i="25"/>
  <c r="M16" i="25"/>
  <c r="F21" i="1"/>
  <c r="M16" i="21"/>
  <c r="R20" i="21"/>
  <c r="G5" i="1"/>
  <c r="X20" i="8"/>
  <c r="S16" i="8"/>
  <c r="F19" i="1"/>
  <c r="M16" i="19"/>
  <c r="R20" i="19"/>
  <c r="G31" i="1"/>
  <c r="X20" i="26"/>
  <c r="S16" i="26"/>
  <c r="G11" i="1"/>
  <c r="S16" i="13"/>
  <c r="X20" i="13"/>
  <c r="G24" i="1"/>
  <c r="X20" i="24"/>
  <c r="S16" i="24"/>
  <c r="G35" i="1"/>
  <c r="AA35" i="1" s="1"/>
  <c r="AJ35" i="1" s="1"/>
  <c r="S16" i="30"/>
  <c r="X20" i="30"/>
  <c r="G10" i="1"/>
  <c r="X20" i="4"/>
  <c r="S16" i="4"/>
  <c r="G13" i="1"/>
  <c r="X20" i="15"/>
  <c r="S16" i="15"/>
  <c r="X20" i="17"/>
  <c r="G15" i="1"/>
  <c r="AA15" i="1" s="1"/>
  <c r="AJ15" i="1" s="1"/>
  <c r="S16" i="17"/>
  <c r="X20" i="19"/>
  <c r="G19" i="1"/>
  <c r="S16" i="19"/>
  <c r="G22" i="1"/>
  <c r="X20" i="22"/>
  <c r="S16" i="22"/>
  <c r="F18" i="1"/>
  <c r="M16" i="33"/>
  <c r="R20" i="33"/>
  <c r="G18" i="1"/>
  <c r="X20" i="33"/>
  <c r="S16" i="33"/>
  <c r="F7" i="1"/>
  <c r="M16" i="10"/>
  <c r="R20" i="10"/>
  <c r="R26" i="30"/>
  <c r="M22" i="30"/>
  <c r="R22" i="30" s="1"/>
  <c r="N35" i="1"/>
  <c r="N8" i="1"/>
  <c r="R26" i="11"/>
  <c r="M22" i="11"/>
  <c r="O19" i="1"/>
  <c r="X26" i="19"/>
  <c r="S22" i="19"/>
  <c r="X22" i="19" s="1"/>
  <c r="O32" i="1"/>
  <c r="X26" i="27"/>
  <c r="S22" i="27"/>
  <c r="X22" i="27" s="1"/>
  <c r="O10" i="1"/>
  <c r="S22" i="4"/>
  <c r="X22" i="4" s="1"/>
  <c r="X26" i="4"/>
  <c r="N20" i="1"/>
  <c r="M22" i="20"/>
  <c r="R22" i="20" s="1"/>
  <c r="R26" i="20"/>
  <c r="N36" i="1"/>
  <c r="R26" i="31"/>
  <c r="M22" i="31"/>
  <c r="R22" i="31" s="1"/>
  <c r="O30" i="1"/>
  <c r="X26" i="25"/>
  <c r="S22" i="25"/>
  <c r="X22" i="25" s="1"/>
  <c r="O5" i="1"/>
  <c r="X26" i="8"/>
  <c r="S22" i="8"/>
  <c r="X22" i="8" s="1"/>
  <c r="N22" i="1"/>
  <c r="M22" i="22"/>
  <c r="R22" i="22" s="1"/>
  <c r="R26" i="22"/>
  <c r="N18" i="1"/>
  <c r="M22" i="33"/>
  <c r="R22" i="33" s="1"/>
  <c r="R26" i="33"/>
  <c r="N37" i="1"/>
  <c r="R26" i="32"/>
  <c r="M22" i="32"/>
  <c r="N6" i="1"/>
  <c r="R26" i="9"/>
  <c r="M22" i="9"/>
  <c r="R22" i="9" s="1"/>
  <c r="F9" i="1"/>
  <c r="M16" i="12"/>
  <c r="R20" i="12"/>
  <c r="G37" i="1"/>
  <c r="X20" i="32"/>
  <c r="S16" i="32"/>
  <c r="F15" i="1"/>
  <c r="R20" i="17"/>
  <c r="M16" i="17"/>
  <c r="F13" i="1"/>
  <c r="R20" i="15"/>
  <c r="M16" i="15"/>
  <c r="G12" i="1"/>
  <c r="AA12" i="1" s="1"/>
  <c r="AJ12" i="1" s="1"/>
  <c r="X20" i="14"/>
  <c r="S16" i="14"/>
  <c r="F14" i="1"/>
  <c r="M16" i="16"/>
  <c r="R20" i="16"/>
  <c r="F22" i="1"/>
  <c r="M16" i="22"/>
  <c r="R20" i="22"/>
  <c r="F6" i="1"/>
  <c r="Z6" i="1" s="1"/>
  <c r="AI6" i="1" s="1"/>
  <c r="R20" i="9"/>
  <c r="M16" i="9"/>
  <c r="F20" i="1"/>
  <c r="M16" i="20"/>
  <c r="R20" i="20"/>
  <c r="F32" i="1"/>
  <c r="M16" i="27"/>
  <c r="R20" i="27"/>
  <c r="F33" i="1"/>
  <c r="M16" i="28"/>
  <c r="R20" i="28"/>
  <c r="G36" i="1"/>
  <c r="X20" i="31"/>
  <c r="S16" i="31"/>
  <c r="F16" i="1"/>
  <c r="M16" i="34"/>
  <c r="R20" i="34"/>
  <c r="G7" i="1"/>
  <c r="X20" i="10"/>
  <c r="S16" i="10"/>
  <c r="R26" i="19"/>
  <c r="N19" i="1"/>
  <c r="M22" i="19"/>
  <c r="R22" i="19" s="1"/>
  <c r="N30" i="1"/>
  <c r="M22" i="25"/>
  <c r="R22" i="25" s="1"/>
  <c r="R26" i="25"/>
  <c r="O21" i="1"/>
  <c r="X26" i="21"/>
  <c r="S22" i="21"/>
  <c r="X22" i="21" s="1"/>
  <c r="O36" i="1"/>
  <c r="X26" i="31"/>
  <c r="S22" i="31"/>
  <c r="X22" i="31" s="1"/>
  <c r="N12" i="1"/>
  <c r="M22" i="14"/>
  <c r="R22" i="14" s="1"/>
  <c r="R26" i="14"/>
  <c r="O23" i="1"/>
  <c r="X26" i="23"/>
  <c r="S22" i="23"/>
  <c r="X22" i="23" s="1"/>
  <c r="O8" i="1"/>
  <c r="X26" i="11"/>
  <c r="S22" i="11"/>
  <c r="N34" i="1"/>
  <c r="M22" i="29"/>
  <c r="R22" i="29" s="1"/>
  <c r="R26" i="29"/>
  <c r="N13" i="1"/>
  <c r="M22" i="15"/>
  <c r="R22" i="15" s="1"/>
  <c r="R26" i="15"/>
  <c r="N32" i="1"/>
  <c r="M22" i="27"/>
  <c r="R22" i="27" s="1"/>
  <c r="R26" i="27"/>
  <c r="X26" i="28"/>
  <c r="S22" i="28"/>
  <c r="X22" i="28" s="1"/>
  <c r="O33" i="1"/>
  <c r="O37" i="1"/>
  <c r="S22" i="32"/>
  <c r="X22" i="32" s="1"/>
  <c r="X26" i="32"/>
  <c r="AA18" i="1" l="1"/>
  <c r="AJ18" i="1" s="1"/>
  <c r="Z22" i="1"/>
  <c r="AI22" i="1" s="1"/>
  <c r="AA7" i="1"/>
  <c r="AJ7" i="1" s="1"/>
  <c r="AV7" i="1" s="1"/>
  <c r="AA24" i="1"/>
  <c r="AJ24" i="1" s="1"/>
  <c r="AV24" i="1" s="1"/>
  <c r="Z14" i="1"/>
  <c r="AI14" i="1" s="1"/>
  <c r="AA31" i="1"/>
  <c r="AJ31" i="1" s="1"/>
  <c r="AW31" i="1" s="1"/>
  <c r="AX31" i="1" s="1"/>
  <c r="Z16" i="1"/>
  <c r="AI16" i="1" s="1"/>
  <c r="AA19" i="1"/>
  <c r="AJ19" i="1" s="1"/>
  <c r="AV19" i="1" s="1"/>
  <c r="Z32" i="1"/>
  <c r="AI32" i="1" s="1"/>
  <c r="AA17" i="1"/>
  <c r="AJ17" i="1" s="1"/>
  <c r="AW17" i="1" s="1"/>
  <c r="AX17" i="1" s="1"/>
  <c r="Z33" i="1"/>
  <c r="AI33" i="1" s="1"/>
  <c r="Z37" i="1"/>
  <c r="AI37" i="1" s="1"/>
  <c r="Z19" i="1"/>
  <c r="AI19" i="1" s="1"/>
  <c r="AA11" i="1"/>
  <c r="AJ11" i="1" s="1"/>
  <c r="AV11" i="1" s="1"/>
  <c r="AA34" i="1"/>
  <c r="AJ34" i="1" s="1"/>
  <c r="AW34" i="1" s="1"/>
  <c r="AX34" i="1" s="1"/>
  <c r="AA22" i="1"/>
  <c r="AJ22" i="1" s="1"/>
  <c r="AW22" i="1" s="1"/>
  <c r="AX22" i="1" s="1"/>
  <c r="Z20" i="1"/>
  <c r="AI20" i="1" s="1"/>
  <c r="Z7" i="1"/>
  <c r="AI7" i="1" s="1"/>
  <c r="AA13" i="1"/>
  <c r="AJ13" i="1" s="1"/>
  <c r="AS13" i="1" s="1"/>
  <c r="AT13" i="1" s="1"/>
  <c r="X16" i="31"/>
  <c r="R16" i="22"/>
  <c r="Z13" i="1"/>
  <c r="AI13" i="1" s="1"/>
  <c r="X16" i="32"/>
  <c r="R16" i="12"/>
  <c r="O38" i="1"/>
  <c r="AS18" i="1"/>
  <c r="AT18" i="1" s="1"/>
  <c r="AR18" i="1"/>
  <c r="AW18" i="1"/>
  <c r="AX18" i="1" s="1"/>
  <c r="AV18" i="1"/>
  <c r="X16" i="22"/>
  <c r="X16" i="4"/>
  <c r="AR24" i="1"/>
  <c r="X16" i="13"/>
  <c r="AS31" i="1"/>
  <c r="AT31" i="1" s="1"/>
  <c r="R16" i="19"/>
  <c r="X16" i="8"/>
  <c r="R16" i="21"/>
  <c r="R16" i="25"/>
  <c r="Z9" i="1"/>
  <c r="AI9" i="1" s="1"/>
  <c r="AA30" i="1"/>
  <c r="AJ30" i="1" s="1"/>
  <c r="R16" i="31"/>
  <c r="AA23" i="1"/>
  <c r="AJ23" i="1" s="1"/>
  <c r="AA33" i="1"/>
  <c r="AJ33" i="1" s="1"/>
  <c r="Z17" i="1"/>
  <c r="AI17" i="1" s="1"/>
  <c r="AA8" i="1"/>
  <c r="AJ8" i="1" s="1"/>
  <c r="AS7" i="1"/>
  <c r="AT7" i="1" s="1"/>
  <c r="AR7" i="1"/>
  <c r="AW7" i="1"/>
  <c r="AX7" i="1" s="1"/>
  <c r="R16" i="16"/>
  <c r="AR12" i="1"/>
  <c r="AS12" i="1"/>
  <c r="AT12" i="1" s="1"/>
  <c r="AV12" i="1"/>
  <c r="AW12" i="1"/>
  <c r="AX12" i="1" s="1"/>
  <c r="R16" i="17"/>
  <c r="R22" i="32"/>
  <c r="X16" i="15"/>
  <c r="F38" i="1"/>
  <c r="Z5" i="1"/>
  <c r="R22" i="12"/>
  <c r="X16" i="34"/>
  <c r="R16" i="32"/>
  <c r="R16" i="14"/>
  <c r="AA32" i="1"/>
  <c r="AJ32" i="1" s="1"/>
  <c r="Z31" i="1"/>
  <c r="AI31" i="1" s="1"/>
  <c r="N38" i="1"/>
  <c r="Z15" i="1"/>
  <c r="AI15" i="1" s="1"/>
  <c r="R16" i="23"/>
  <c r="X16" i="16"/>
  <c r="AA21" i="1"/>
  <c r="AJ21" i="1" s="1"/>
  <c r="X16" i="9"/>
  <c r="R16" i="4"/>
  <c r="R16" i="29"/>
  <c r="X22" i="11"/>
  <c r="R16" i="34"/>
  <c r="R16" i="20"/>
  <c r="R16" i="9"/>
  <c r="R16" i="15"/>
  <c r="AA37" i="1"/>
  <c r="AJ37" i="1" s="1"/>
  <c r="R16" i="10"/>
  <c r="X16" i="33"/>
  <c r="R16" i="33"/>
  <c r="X16" i="17"/>
  <c r="AA10" i="1"/>
  <c r="AJ10" i="1" s="1"/>
  <c r="X16" i="30"/>
  <c r="X16" i="24"/>
  <c r="X16" i="26"/>
  <c r="AA5" i="1"/>
  <c r="G38" i="1"/>
  <c r="Z30" i="1"/>
  <c r="AI30" i="1" s="1"/>
  <c r="Z8" i="1"/>
  <c r="AI8" i="1" s="1"/>
  <c r="Z35" i="1"/>
  <c r="AI35" i="1" s="1"/>
  <c r="X16" i="25"/>
  <c r="Z36" i="1"/>
  <c r="AI36" i="1" s="1"/>
  <c r="X16" i="20"/>
  <c r="Z24" i="1"/>
  <c r="AI24" i="1" s="1"/>
  <c r="R16" i="26"/>
  <c r="Z21" i="1"/>
  <c r="AI21" i="1" s="1"/>
  <c r="Z23" i="1"/>
  <c r="AI23" i="1" s="1"/>
  <c r="X16" i="18"/>
  <c r="AA14" i="1"/>
  <c r="AJ14" i="1" s="1"/>
  <c r="X16" i="12"/>
  <c r="X16" i="28"/>
  <c r="Z10" i="1"/>
  <c r="AI10" i="1" s="1"/>
  <c r="R16" i="13"/>
  <c r="R16" i="28"/>
  <c r="X16" i="10"/>
  <c r="AA36" i="1"/>
  <c r="AJ36" i="1" s="1"/>
  <c r="R16" i="27"/>
  <c r="X16" i="14"/>
  <c r="R22" i="11"/>
  <c r="Z18" i="1"/>
  <c r="AI18" i="1" s="1"/>
  <c r="X16" i="19"/>
  <c r="AS15" i="1"/>
  <c r="AT15" i="1" s="1"/>
  <c r="AR15" i="1"/>
  <c r="AW15" i="1"/>
  <c r="AX15" i="1" s="1"/>
  <c r="AV15" i="1"/>
  <c r="AV35" i="1"/>
  <c r="AR35" i="1"/>
  <c r="AW35" i="1"/>
  <c r="AX35" i="1" s="1"/>
  <c r="AS35" i="1"/>
  <c r="AT35" i="1" s="1"/>
  <c r="R16" i="8"/>
  <c r="R16" i="11"/>
  <c r="R16" i="30"/>
  <c r="R22" i="24"/>
  <c r="AA16" i="1"/>
  <c r="AJ16" i="1" s="1"/>
  <c r="X16" i="29"/>
  <c r="Z12" i="1"/>
  <c r="AI12" i="1" s="1"/>
  <c r="X16" i="27"/>
  <c r="X16" i="23"/>
  <c r="AA20" i="1"/>
  <c r="AJ20" i="1" s="1"/>
  <c r="R16" i="24"/>
  <c r="R22" i="21"/>
  <c r="R22" i="17"/>
  <c r="AA9" i="1"/>
  <c r="AJ9" i="1" s="1"/>
  <c r="X16" i="21"/>
  <c r="R16" i="18"/>
  <c r="AA6" i="1"/>
  <c r="AJ6" i="1" s="1"/>
  <c r="Z34" i="1"/>
  <c r="AI34" i="1" s="1"/>
  <c r="X16" i="11"/>
  <c r="Z11" i="1"/>
  <c r="AI11" i="1" s="1"/>
  <c r="AW24" i="1" l="1"/>
  <c r="AX24" i="1" s="1"/>
  <c r="AS24" i="1"/>
  <c r="AT24" i="1" s="1"/>
  <c r="AS34" i="1"/>
  <c r="AT34" i="1" s="1"/>
  <c r="AR31" i="1"/>
  <c r="AV31" i="1"/>
  <c r="AS17" i="1"/>
  <c r="AT17" i="1" s="1"/>
  <c r="AR19" i="1"/>
  <c r="AW19" i="1"/>
  <c r="AX19" i="1" s="1"/>
  <c r="AV17" i="1"/>
  <c r="AS19" i="1"/>
  <c r="AT19" i="1" s="1"/>
  <c r="AW11" i="1"/>
  <c r="AX11" i="1" s="1"/>
  <c r="AR17" i="1"/>
  <c r="AR11" i="1"/>
  <c r="AS11" i="1"/>
  <c r="AT11" i="1" s="1"/>
  <c r="AW13" i="1"/>
  <c r="AX13" i="1" s="1"/>
  <c r="AR34" i="1"/>
  <c r="AV13" i="1"/>
  <c r="AR13" i="1"/>
  <c r="AR22" i="1"/>
  <c r="AV34" i="1"/>
  <c r="AV22" i="1"/>
  <c r="AS22" i="1"/>
  <c r="AT22" i="1" s="1"/>
  <c r="AS36" i="1"/>
  <c r="AT36" i="1" s="1"/>
  <c r="AW36" i="1"/>
  <c r="AX36" i="1" s="1"/>
  <c r="AR36" i="1"/>
  <c r="AV36" i="1"/>
  <c r="AJ5" i="1"/>
  <c r="AA38" i="1"/>
  <c r="AV8" i="1"/>
  <c r="AR8" i="1"/>
  <c r="AS8" i="1"/>
  <c r="AT8" i="1" s="1"/>
  <c r="AW8" i="1"/>
  <c r="AX8" i="1" s="1"/>
  <c r="AS30" i="1"/>
  <c r="AT30" i="1" s="1"/>
  <c r="AV30" i="1"/>
  <c r="AW30" i="1"/>
  <c r="AX30" i="1" s="1"/>
  <c r="AR30" i="1"/>
  <c r="AV16" i="1"/>
  <c r="AS16" i="1"/>
  <c r="AT16" i="1" s="1"/>
  <c r="AR16" i="1"/>
  <c r="AW16" i="1"/>
  <c r="AX16" i="1" s="1"/>
  <c r="AV10" i="1"/>
  <c r="AS10" i="1"/>
  <c r="AT10" i="1" s="1"/>
  <c r="AR10" i="1"/>
  <c r="AW10" i="1"/>
  <c r="AX10" i="1" s="1"/>
  <c r="AV6" i="1"/>
  <c r="AR6" i="1"/>
  <c r="AS6" i="1"/>
  <c r="AT6" i="1" s="1"/>
  <c r="AW6" i="1"/>
  <c r="AX6" i="1" s="1"/>
  <c r="AR9" i="1"/>
  <c r="AW9" i="1"/>
  <c r="AX9" i="1" s="1"/>
  <c r="AS9" i="1"/>
  <c r="AT9" i="1" s="1"/>
  <c r="AV9" i="1"/>
  <c r="AV14" i="1"/>
  <c r="AR14" i="1"/>
  <c r="AS14" i="1"/>
  <c r="AT14" i="1" s="1"/>
  <c r="AW14" i="1"/>
  <c r="AX14" i="1" s="1"/>
  <c r="AS21" i="1"/>
  <c r="AT21" i="1" s="1"/>
  <c r="AR21" i="1"/>
  <c r="AV21" i="1"/>
  <c r="AW21" i="1"/>
  <c r="AX21" i="1" s="1"/>
  <c r="AV32" i="1"/>
  <c r="AS32" i="1"/>
  <c r="AT32" i="1" s="1"/>
  <c r="AR32" i="1"/>
  <c r="AW32" i="1"/>
  <c r="AX32" i="1" s="1"/>
  <c r="AI5" i="1"/>
  <c r="AI38" i="1" s="1"/>
  <c r="Z38" i="1"/>
  <c r="AR33" i="1"/>
  <c r="AW33" i="1"/>
  <c r="AX33" i="1" s="1"/>
  <c r="AS33" i="1"/>
  <c r="AT33" i="1" s="1"/>
  <c r="AV33" i="1"/>
  <c r="AV20" i="1"/>
  <c r="AR20" i="1"/>
  <c r="AW20" i="1"/>
  <c r="AX20" i="1" s="1"/>
  <c r="AS20" i="1"/>
  <c r="AT20" i="1" s="1"/>
  <c r="AS37" i="1"/>
  <c r="AT37" i="1" s="1"/>
  <c r="AV37" i="1"/>
  <c r="AR37" i="1"/>
  <c r="AW37" i="1"/>
  <c r="AX37" i="1" s="1"/>
  <c r="AW23" i="1"/>
  <c r="AX23" i="1" s="1"/>
  <c r="AV23" i="1"/>
  <c r="AS23" i="1"/>
  <c r="AT23" i="1" s="1"/>
  <c r="AR23" i="1"/>
  <c r="AV5" i="1" l="1"/>
  <c r="AS5" i="1"/>
  <c r="AS38" i="1" s="1"/>
  <c r="AR5" i="1"/>
  <c r="AJ38" i="1"/>
  <c r="AW5" i="1"/>
  <c r="AW38" i="1" s="1"/>
  <c r="AX5" i="1" l="1"/>
  <c r="AT38" i="1"/>
  <c r="AT5" i="1"/>
  <c r="AR38" i="1"/>
  <c r="AV38" i="1"/>
  <c r="AX38" i="1"/>
</calcChain>
</file>

<file path=xl/comments1.xml><?xml version="1.0" encoding="utf-8"?>
<comments xmlns="http://schemas.openxmlformats.org/spreadsheetml/2006/main">
  <authors>
    <author>Nina</author>
  </authors>
  <commentList>
    <comment ref="J27" authorId="0" shapeId="0">
      <text>
        <r>
          <rPr>
            <b/>
            <sz val="9"/>
            <color indexed="81"/>
            <rFont val="Tahoma"/>
            <family val="2"/>
          </rPr>
          <t>Nina:</t>
        </r>
        <r>
          <rPr>
            <sz val="9"/>
            <color indexed="81"/>
            <rFont val="Tahoma"/>
            <family val="2"/>
          </rPr>
          <t xml:space="preserve">
N2O emissions from Woody Grassland, according to NIR 6.6.2.4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Nina:</t>
        </r>
        <r>
          <rPr>
            <sz val="9"/>
            <color indexed="81"/>
            <rFont val="Tahoma"/>
            <family val="2"/>
          </rPr>
          <t xml:space="preserve">
CH4 emissions from organic soils and drainage ditches. According to NIR 6.6.2.4</t>
        </r>
      </text>
    </comment>
    <comment ref="AR28" authorId="0" shapeId="0">
      <text>
        <r>
          <rPr>
            <b/>
            <sz val="9"/>
            <color indexed="81"/>
            <rFont val="Tahoma"/>
            <family val="2"/>
          </rPr>
          <t>Nina:</t>
        </r>
        <r>
          <rPr>
            <sz val="9"/>
            <color indexed="81"/>
            <rFont val="Tahoma"/>
            <family val="2"/>
          </rPr>
          <t xml:space="preserve">
Wo ist der Unterschied zwischen der Berechnung mit korrigierter Fläche und dem Wert aus der GPD?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</rPr>
          <t>Nina:</t>
        </r>
        <r>
          <rPr>
            <sz val="9"/>
            <color indexed="81"/>
            <rFont val="Tahoma"/>
            <family val="2"/>
          </rPr>
          <t xml:space="preserve">
Included in C26, according to NIR 6.6.2.4,
ditch area 1.3% (kartographiert) vs. default area 5%</t>
        </r>
      </text>
    </comment>
  </commentList>
</comments>
</file>

<file path=xl/comments2.xml><?xml version="1.0" encoding="utf-8"?>
<comments xmlns="http://schemas.openxmlformats.org/spreadsheetml/2006/main">
  <authors>
    <author>Nina</author>
  </authors>
  <commentList>
    <comment ref="AA29" authorId="0" shapeId="0">
      <text>
        <r>
          <rPr>
            <b/>
            <sz val="9"/>
            <color indexed="81"/>
            <rFont val="Tahoma"/>
            <charset val="1"/>
          </rPr>
          <t>Nina:</t>
        </r>
        <r>
          <rPr>
            <sz val="9"/>
            <color indexed="81"/>
            <rFont val="Tahoma"/>
            <charset val="1"/>
          </rPr>
          <t xml:space="preserve">
here shallow-drained</t>
        </r>
      </text>
    </comment>
  </commentList>
</comments>
</file>

<file path=xl/comments3.xml><?xml version="1.0" encoding="utf-8"?>
<comments xmlns="http://schemas.openxmlformats.org/spreadsheetml/2006/main">
  <authors>
    <author>Nina</author>
  </authors>
  <commentList>
    <comment ref="AA29" authorId="0" shapeId="0">
      <text>
        <r>
          <rPr>
            <b/>
            <sz val="9"/>
            <color indexed="81"/>
            <rFont val="Tahoma"/>
            <charset val="1"/>
          </rPr>
          <t>Nina:</t>
        </r>
        <r>
          <rPr>
            <sz val="9"/>
            <color indexed="81"/>
            <rFont val="Tahoma"/>
            <charset val="1"/>
          </rPr>
          <t xml:space="preserve">
Here shallow-drained Grassland</t>
        </r>
      </text>
    </comment>
  </commentList>
</comments>
</file>

<file path=xl/sharedStrings.xml><?xml version="1.0" encoding="utf-8"?>
<sst xmlns="http://schemas.openxmlformats.org/spreadsheetml/2006/main" count="1917" uniqueCount="138">
  <si>
    <t>Agriculture</t>
  </si>
  <si>
    <t>CO2 [kt]</t>
  </si>
  <si>
    <t>CH4 [kt]</t>
  </si>
  <si>
    <t>N2O [kt]</t>
  </si>
  <si>
    <t>total [kt]</t>
  </si>
  <si>
    <t>GHG emissions reported</t>
  </si>
  <si>
    <t>Greenhouse gas source and sink categories</t>
  </si>
  <si>
    <t>LULUCF Grassland</t>
  </si>
  <si>
    <t>LULUCF Cropland</t>
  </si>
  <si>
    <t>A. Enteric fermentation</t>
  </si>
  <si>
    <t>B. Manure management</t>
  </si>
  <si>
    <t>C. Rice cultivation</t>
  </si>
  <si>
    <t>D. Agricultural soils</t>
  </si>
  <si>
    <t>E. Prescribed burning of savannas</t>
  </si>
  <si>
    <t>F. Field burning of agricultural residues</t>
  </si>
  <si>
    <t>G. Liming</t>
  </si>
  <si>
    <t>H. Urea Application</t>
  </si>
  <si>
    <t>I. Other carbon-containing fertilizers</t>
  </si>
  <si>
    <t>J. Other</t>
  </si>
  <si>
    <t>total [kha]</t>
  </si>
  <si>
    <t>total [ha]</t>
  </si>
  <si>
    <t>IE</t>
  </si>
  <si>
    <t>C [kt] net carbon stock change in soils</t>
  </si>
  <si>
    <t>Mineral soils</t>
  </si>
  <si>
    <t>Organic soils</t>
  </si>
  <si>
    <t>Efs</t>
  </si>
  <si>
    <t>CO2</t>
  </si>
  <si>
    <t>CH4</t>
  </si>
  <si>
    <t>ditch</t>
  </si>
  <si>
    <t>N2O</t>
  </si>
  <si>
    <t>GL_boreal</t>
  </si>
  <si>
    <t>GL_temperate</t>
  </si>
  <si>
    <t>GL_t deep</t>
  </si>
  <si>
    <t>GL_t shallow</t>
  </si>
  <si>
    <t>t C/ha*y</t>
  </si>
  <si>
    <t>kg CH4/ha*y</t>
  </si>
  <si>
    <t>kg N2O-N/ha*y</t>
  </si>
  <si>
    <t>GWP conversion factors</t>
  </si>
  <si>
    <t>AR5</t>
  </si>
  <si>
    <t>used in rep.</t>
  </si>
  <si>
    <t>sum (CO2 + CH4 + N2O)</t>
  </si>
  <si>
    <t>Total</t>
  </si>
  <si>
    <t xml:space="preserve">  D.1 Cultivation of histosols</t>
  </si>
  <si>
    <t>GPD [kha]</t>
  </si>
  <si>
    <t xml:space="preserve">  Mineral soil emissions from land-use change and management change</t>
  </si>
  <si>
    <t xml:space="preserve">  Mineral soil emissions from management</t>
  </si>
  <si>
    <t>Ditches</t>
  </si>
  <si>
    <t>FL_boreal</t>
  </si>
  <si>
    <t>FL_temperate</t>
  </si>
  <si>
    <t>WL_boreal</t>
  </si>
  <si>
    <t>WL_temperate</t>
  </si>
  <si>
    <t>S_boreal</t>
  </si>
  <si>
    <t>S_temperate</t>
  </si>
  <si>
    <t>OL_boreal</t>
  </si>
  <si>
    <t>OL_temperate</t>
  </si>
  <si>
    <t>CL_boreal</t>
  </si>
  <si>
    <t>CL_temperate</t>
  </si>
  <si>
    <t>AUT</t>
  </si>
  <si>
    <t>reported</t>
  </si>
  <si>
    <t>corrected</t>
  </si>
  <si>
    <t>CO2 Emissions [kt]</t>
  </si>
  <si>
    <t>Area [kha]</t>
  </si>
  <si>
    <t>EFs &amp; Area</t>
  </si>
  <si>
    <t>EFs</t>
  </si>
  <si>
    <t>corrected for</t>
  </si>
  <si>
    <t>BEL</t>
  </si>
  <si>
    <t>BGR</t>
  </si>
  <si>
    <t>CYP</t>
  </si>
  <si>
    <t>Total emissions</t>
  </si>
  <si>
    <t>CZE</t>
  </si>
  <si>
    <t>DEU</t>
  </si>
  <si>
    <t>DNK</t>
  </si>
  <si>
    <t>ESP</t>
  </si>
  <si>
    <t>EST</t>
  </si>
  <si>
    <t>FIN</t>
  </si>
  <si>
    <t>GBR</t>
  </si>
  <si>
    <t>FRA</t>
  </si>
  <si>
    <t>GRC</t>
  </si>
  <si>
    <t>HRV</t>
  </si>
  <si>
    <t>HUN</t>
  </si>
  <si>
    <t>IRL</t>
  </si>
  <si>
    <t>ITA</t>
  </si>
  <si>
    <t>LTU</t>
  </si>
  <si>
    <t>LUX</t>
  </si>
  <si>
    <t>LVA</t>
  </si>
  <si>
    <t>MLT</t>
  </si>
  <si>
    <t>NLD</t>
  </si>
  <si>
    <t>POL</t>
  </si>
  <si>
    <t>PRT</t>
  </si>
  <si>
    <t>ROU</t>
  </si>
  <si>
    <t>SVK</t>
  </si>
  <si>
    <t>SVN</t>
  </si>
  <si>
    <t>SWE</t>
  </si>
  <si>
    <t>Cult. of histosols [kt CO2-eq]</t>
  </si>
  <si>
    <t>EU</t>
  </si>
  <si>
    <t>N2O emissions [kt CO2-eq]</t>
  </si>
  <si>
    <t>CH4 emissions [kt CO2-eq]</t>
  </si>
  <si>
    <t>CO2 emissions [kt]</t>
  </si>
  <si>
    <t>Total [kt CO2-eq]</t>
  </si>
  <si>
    <t>CL_DEU</t>
  </si>
  <si>
    <t>GL_DEU</t>
  </si>
  <si>
    <t>CL_FIN</t>
  </si>
  <si>
    <t>GL_FIN</t>
  </si>
  <si>
    <t>CL_GBR</t>
  </si>
  <si>
    <t>GL_GBR</t>
  </si>
  <si>
    <t>GL_IRL_ext</t>
  </si>
  <si>
    <t>% organic soil emissions</t>
  </si>
  <si>
    <t>% organic soil area</t>
  </si>
  <si>
    <t>Total emissions (corrected)</t>
  </si>
  <si>
    <t>Total area [kha]</t>
  </si>
  <si>
    <t>Total area (corrected) [kha]</t>
  </si>
  <si>
    <t>% organic soil emissions from agriculture</t>
  </si>
  <si>
    <t>% organic soil emissions from agriculture (corrected)</t>
  </si>
  <si>
    <t>CL_SWE</t>
  </si>
  <si>
    <t>GL_SWE</t>
  </si>
  <si>
    <t>Agriculture (3.D)</t>
  </si>
  <si>
    <t>Cropland, Organic soils (4.B)</t>
  </si>
  <si>
    <t>Grassland, Organic soils (4.C)</t>
  </si>
  <si>
    <t>Agriculture undiff., organic soils (GPD)</t>
  </si>
  <si>
    <t>Organic soil emissions from agriculture (total)</t>
  </si>
  <si>
    <t>Agriculture (total)</t>
  </si>
  <si>
    <t>Country emissions (total)</t>
  </si>
  <si>
    <t>AR4</t>
  </si>
  <si>
    <t xml:space="preserve">GL_t_s_modified </t>
  </si>
  <si>
    <t>AL_undiff_temperate</t>
  </si>
  <si>
    <t xml:space="preserve"> GHG emissions reported, CO2-eq</t>
  </si>
  <si>
    <t xml:space="preserve"> GHG emissions reported, CO2-eq, AR5 GWP CFs</t>
  </si>
  <si>
    <t>GHG emissions corr. for EFs</t>
  </si>
  <si>
    <t>GHG emissions corr. for area and EFs (AR5 GWP CFs)</t>
  </si>
  <si>
    <t>GHG emissions corr. for EFs, CO2-eq, AR5 GWP CFs</t>
  </si>
  <si>
    <t>GHG emissions corr. for area and EFs, CO2e, AR5 GWP CFs</t>
  </si>
  <si>
    <t>corr. [kha]</t>
  </si>
  <si>
    <t>Area</t>
  </si>
  <si>
    <t>Agriculture undiff.</t>
  </si>
  <si>
    <t>Imported from CRF table of each country</t>
  </si>
  <si>
    <t>Calculated with formulas</t>
  </si>
  <si>
    <t>Filled by hand</t>
  </si>
  <si>
    <t>Imported from CRF table of each country, source cell differs between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</si>
</sst>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39">
    <xf numFmtId="0" fontId="0" fillId="0" borderId="0" xfId="0"/>
    <xf numFmtId="0" fontId="0" fillId="0" borderId="4" xfId="0" applyBorder="1"/>
    <xf numFmtId="0" fontId="1" fillId="3" borderId="3" xfId="0" applyFont="1" applyFill="1" applyBorder="1"/>
    <xf numFmtId="0" fontId="1" fillId="3" borderId="5" xfId="0" applyFont="1" applyFill="1" applyBorder="1"/>
    <xf numFmtId="0" fontId="0" fillId="3" borderId="4" xfId="0" applyFill="1" applyBorder="1"/>
    <xf numFmtId="0" fontId="1" fillId="2" borderId="4" xfId="0" applyFont="1" applyFill="1" applyBorder="1"/>
    <xf numFmtId="0" fontId="0" fillId="3" borderId="4" xfId="0" applyFont="1" applyFill="1" applyBorder="1"/>
    <xf numFmtId="2" fontId="0" fillId="5" borderId="0" xfId="0" applyNumberFormat="1" applyFill="1"/>
    <xf numFmtId="2" fontId="0" fillId="6" borderId="0" xfId="0" applyNumberFormat="1" applyFill="1"/>
    <xf numFmtId="2" fontId="0" fillId="6" borderId="4" xfId="0" applyNumberFormat="1" applyFill="1" applyBorder="1"/>
    <xf numFmtId="0" fontId="0" fillId="7" borderId="4" xfId="0" applyFill="1" applyBorder="1"/>
    <xf numFmtId="2" fontId="0" fillId="5" borderId="4" xfId="0" applyNumberFormat="1" applyFill="1" applyBorder="1"/>
    <xf numFmtId="0" fontId="0" fillId="7" borderId="0" xfId="0" applyFill="1"/>
    <xf numFmtId="0" fontId="0" fillId="0" borderId="0" xfId="0" applyFill="1"/>
    <xf numFmtId="2" fontId="0" fillId="6" borderId="0" xfId="0" applyNumberFormat="1" applyFill="1" applyBorder="1"/>
    <xf numFmtId="0" fontId="0" fillId="5" borderId="0" xfId="0" applyFill="1"/>
    <xf numFmtId="0" fontId="0" fillId="0" borderId="4" xfId="0" applyFill="1" applyBorder="1"/>
    <xf numFmtId="2" fontId="0" fillId="5" borderId="7" xfId="0" applyNumberFormat="1" applyFill="1" applyBorder="1"/>
    <xf numFmtId="2" fontId="0" fillId="5" borderId="0" xfId="0" applyNumberFormat="1" applyFill="1" applyBorder="1"/>
    <xf numFmtId="0" fontId="0" fillId="0" borderId="0" xfId="0" applyBorder="1"/>
    <xf numFmtId="0" fontId="0" fillId="5" borderId="0" xfId="0" applyFill="1" applyBorder="1"/>
    <xf numFmtId="0" fontId="0" fillId="7" borderId="0" xfId="0" applyFill="1" applyBorder="1"/>
    <xf numFmtId="0" fontId="0" fillId="3" borderId="4" xfId="0" applyFont="1" applyFill="1" applyBorder="1" applyAlignment="1"/>
    <xf numFmtId="0" fontId="0" fillId="8" borderId="0" xfId="0" applyFill="1" applyBorder="1"/>
    <xf numFmtId="0" fontId="0" fillId="7" borderId="0" xfId="0" applyNumberFormat="1" applyFill="1"/>
    <xf numFmtId="0" fontId="0" fillId="7" borderId="0" xfId="0" applyNumberFormat="1" applyFill="1" applyBorder="1"/>
    <xf numFmtId="0" fontId="0" fillId="7" borderId="4" xfId="0" applyNumberFormat="1" applyFill="1" applyBorder="1"/>
    <xf numFmtId="0" fontId="0" fillId="0" borderId="0" xfId="0" applyNumberFormat="1"/>
    <xf numFmtId="0" fontId="1" fillId="2" borderId="10" xfId="0" applyFont="1" applyFill="1" applyBorder="1"/>
    <xf numFmtId="2" fontId="0" fillId="6" borderId="9" xfId="0" applyNumberFormat="1" applyFill="1" applyBorder="1"/>
    <xf numFmtId="0" fontId="0" fillId="7" borderId="10" xfId="0" applyNumberFormat="1" applyFill="1" applyBorder="1"/>
    <xf numFmtId="2" fontId="0" fillId="5" borderId="9" xfId="0" applyNumberFormat="1" applyFill="1" applyBorder="1"/>
    <xf numFmtId="2" fontId="0" fillId="6" borderId="10" xfId="0" applyNumberFormat="1" applyFill="1" applyBorder="1"/>
    <xf numFmtId="2" fontId="0" fillId="5" borderId="10" xfId="0" applyNumberFormat="1" applyFill="1" applyBorder="1"/>
    <xf numFmtId="0" fontId="0" fillId="7" borderId="9" xfId="0" applyNumberFormat="1" applyFill="1" applyBorder="1"/>
    <xf numFmtId="2" fontId="0" fillId="5" borderId="5" xfId="0" applyNumberFormat="1" applyFill="1" applyBorder="1"/>
    <xf numFmtId="0" fontId="5" fillId="0" borderId="0" xfId="0" applyFont="1" applyFill="1"/>
    <xf numFmtId="0" fontId="5" fillId="0" borderId="0" xfId="0" applyFont="1"/>
    <xf numFmtId="0" fontId="0" fillId="7" borderId="6" xfId="0" applyFill="1" applyBorder="1"/>
    <xf numFmtId="2" fontId="0" fillId="8" borderId="4" xfId="0" applyNumberFormat="1" applyFill="1" applyBorder="1"/>
    <xf numFmtId="0" fontId="0" fillId="7" borderId="3" xfId="0" applyNumberFormat="1" applyFill="1" applyBorder="1"/>
    <xf numFmtId="0" fontId="0" fillId="7" borderId="7" xfId="0" applyNumberFormat="1" applyFill="1" applyBorder="1"/>
    <xf numFmtId="0" fontId="0" fillId="7" borderId="6" xfId="0" applyNumberFormat="1" applyFill="1" applyBorder="1"/>
    <xf numFmtId="0" fontId="0" fillId="7" borderId="5" xfId="0" applyNumberFormat="1" applyFill="1" applyBorder="1"/>
    <xf numFmtId="2" fontId="0" fillId="5" borderId="1" xfId="0" applyNumberFormat="1" applyFill="1" applyBorder="1"/>
    <xf numFmtId="0" fontId="0" fillId="7" borderId="1" xfId="0" applyFill="1" applyBorder="1"/>
    <xf numFmtId="2" fontId="0" fillId="5" borderId="6" xfId="0" applyNumberFormat="1" applyFill="1" applyBorder="1"/>
    <xf numFmtId="2" fontId="0" fillId="7" borderId="0" xfId="0" applyNumberFormat="1" applyFill="1" applyBorder="1"/>
    <xf numFmtId="2" fontId="0" fillId="9" borderId="0" xfId="0" applyNumberFormat="1" applyFill="1" applyBorder="1"/>
    <xf numFmtId="2" fontId="0" fillId="9" borderId="0" xfId="0" applyNumberFormat="1" applyFill="1"/>
    <xf numFmtId="0" fontId="0" fillId="0" borderId="0" xfId="0" applyFill="1" applyBorder="1"/>
    <xf numFmtId="0" fontId="1" fillId="0" borderId="0" xfId="0" applyFont="1" applyFill="1" applyBorder="1"/>
    <xf numFmtId="2" fontId="0" fillId="0" borderId="0" xfId="0" applyNumberFormat="1" applyFill="1" applyBorder="1"/>
    <xf numFmtId="0" fontId="0" fillId="0" borderId="0" xfId="0" applyNumberFormat="1" applyFill="1" applyBorder="1"/>
    <xf numFmtId="0" fontId="0" fillId="0" borderId="0" xfId="0" applyFont="1" applyFill="1" applyBorder="1"/>
    <xf numFmtId="0" fontId="0" fillId="0" borderId="0" xfId="0" applyFont="1" applyFill="1" applyBorder="1" applyAlignment="1"/>
    <xf numFmtId="2" fontId="0" fillId="0" borderId="0" xfId="0" applyNumberFormat="1" applyFont="1" applyFill="1" applyBorder="1"/>
    <xf numFmtId="164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2" fontId="0" fillId="0" borderId="4" xfId="0" applyNumberFormat="1" applyFill="1" applyBorder="1"/>
    <xf numFmtId="0" fontId="0" fillId="0" borderId="4" xfId="0" applyNumberFormat="1" applyFill="1" applyBorder="1"/>
    <xf numFmtId="0" fontId="0" fillId="0" borderId="7" xfId="0" applyNumberFormat="1" applyFill="1" applyBorder="1"/>
    <xf numFmtId="2" fontId="0" fillId="0" borderId="7" xfId="0" applyNumberFormat="1" applyFill="1" applyBorder="1"/>
    <xf numFmtId="0" fontId="1" fillId="0" borderId="4" xfId="0" applyFont="1" applyFill="1" applyBorder="1" applyAlignment="1">
      <alignment horizontal="center" vertical="center" wrapText="1"/>
    </xf>
    <xf numFmtId="0" fontId="0" fillId="0" borderId="6" xfId="0" applyBorder="1"/>
    <xf numFmtId="0" fontId="1" fillId="5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1" fillId="5" borderId="13" xfId="0" applyFont="1" applyFill="1" applyBorder="1" applyAlignment="1">
      <alignment horizontal="center" wrapText="1"/>
    </xf>
    <xf numFmtId="2" fontId="0" fillId="0" borderId="10" xfId="0" applyNumberFormat="1" applyFill="1" applyBorder="1"/>
    <xf numFmtId="0" fontId="0" fillId="0" borderId="7" xfId="0" applyFill="1" applyBorder="1"/>
    <xf numFmtId="0" fontId="1" fillId="0" borderId="4" xfId="0" applyFont="1" applyFill="1" applyBorder="1" applyAlignment="1">
      <alignment horizontal="center"/>
    </xf>
    <xf numFmtId="2" fontId="1" fillId="0" borderId="0" xfId="0" applyNumberFormat="1" applyFont="1" applyFill="1" applyBorder="1"/>
    <xf numFmtId="2" fontId="1" fillId="0" borderId="4" xfId="0" applyNumberFormat="1" applyFont="1" applyFill="1" applyBorder="1"/>
    <xf numFmtId="0" fontId="0" fillId="7" borderId="9" xfId="0" applyFill="1" applyBorder="1"/>
    <xf numFmtId="0" fontId="0" fillId="7" borderId="10" xfId="0" applyFill="1" applyBorder="1"/>
    <xf numFmtId="2" fontId="1" fillId="0" borderId="7" xfId="0" applyNumberFormat="1" applyFont="1" applyFill="1" applyBorder="1"/>
    <xf numFmtId="0" fontId="1" fillId="5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wrapText="1"/>
    </xf>
    <xf numFmtId="2" fontId="0" fillId="0" borderId="0" xfId="0" applyNumberFormat="1" applyFill="1"/>
    <xf numFmtId="2" fontId="0" fillId="0" borderId="0" xfId="0" applyNumberFormat="1"/>
    <xf numFmtId="165" fontId="0" fillId="0" borderId="0" xfId="0" applyNumberFormat="1" applyFill="1"/>
    <xf numFmtId="166" fontId="0" fillId="0" borderId="0" xfId="0" applyNumberFormat="1"/>
    <xf numFmtId="165" fontId="0" fillId="6" borderId="0" xfId="0" applyNumberFormat="1" applyFill="1" applyBorder="1"/>
    <xf numFmtId="1" fontId="0" fillId="0" borderId="0" xfId="0" applyNumberFormat="1" applyFill="1"/>
    <xf numFmtId="0" fontId="0" fillId="6" borderId="0" xfId="0" applyFill="1" applyBorder="1"/>
    <xf numFmtId="0" fontId="1" fillId="3" borderId="8" xfId="0" applyFont="1" applyFill="1" applyBorder="1"/>
    <xf numFmtId="0" fontId="0" fillId="7" borderId="2" xfId="0" applyNumberFormat="1" applyFill="1" applyBorder="1"/>
    <xf numFmtId="0" fontId="0" fillId="7" borderId="1" xfId="0" applyNumberFormat="1" applyFill="1" applyBorder="1"/>
    <xf numFmtId="2" fontId="0" fillId="6" borderId="11" xfId="0" applyNumberFormat="1" applyFill="1" applyBorder="1"/>
    <xf numFmtId="2" fontId="0" fillId="6" borderId="7" xfId="0" applyNumberFormat="1" applyFill="1" applyBorder="1"/>
    <xf numFmtId="2" fontId="0" fillId="9" borderId="7" xfId="0" applyNumberFormat="1" applyFill="1" applyBorder="1"/>
    <xf numFmtId="0" fontId="0" fillId="7" borderId="8" xfId="0" applyNumberFormat="1" applyFill="1" applyBorder="1"/>
    <xf numFmtId="2" fontId="0" fillId="7" borderId="4" xfId="0" applyNumberFormat="1" applyFill="1" applyBorder="1"/>
    <xf numFmtId="0" fontId="8" fillId="9" borderId="0" xfId="0" applyFont="1" applyFill="1" applyBorder="1" applyAlignment="1">
      <alignment wrapText="1"/>
    </xf>
    <xf numFmtId="0" fontId="0" fillId="3" borderId="6" xfId="0" applyFont="1" applyFill="1" applyBorder="1"/>
    <xf numFmtId="0" fontId="0" fillId="7" borderId="4" xfId="0" applyFont="1" applyFill="1" applyBorder="1"/>
    <xf numFmtId="0" fontId="1" fillId="3" borderId="7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10" borderId="10" xfId="0" applyFont="1" applyFill="1" applyBorder="1" applyAlignment="1">
      <alignment horizontal="center" vertical="top"/>
    </xf>
    <xf numFmtId="0" fontId="1" fillId="10" borderId="6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10" borderId="3" xfId="0" applyFont="1" applyFill="1" applyBorder="1" applyAlignment="1">
      <alignment horizontal="center" wrapText="1"/>
    </xf>
    <xf numFmtId="0" fontId="1" fillId="10" borderId="5" xfId="0" applyFont="1" applyFill="1" applyBorder="1" applyAlignment="1">
      <alignment horizontal="center" wrapText="1"/>
    </xf>
    <xf numFmtId="0" fontId="1" fillId="10" borderId="14" xfId="0" applyFont="1" applyFill="1" applyBorder="1" applyAlignment="1">
      <alignment horizontal="center" vertical="top"/>
    </xf>
    <xf numFmtId="0" fontId="1" fillId="10" borderId="12" xfId="0" applyFont="1" applyFill="1" applyBorder="1" applyAlignment="1">
      <alignment horizontal="center" vertical="top"/>
    </xf>
    <xf numFmtId="0" fontId="1" fillId="10" borderId="14" xfId="0" applyFont="1" applyFill="1" applyBorder="1" applyAlignment="1">
      <alignment horizontal="center" vertical="top" wrapText="1"/>
    </xf>
    <xf numFmtId="0" fontId="1" fillId="10" borderId="12" xfId="0" applyFont="1" applyFill="1" applyBorder="1" applyAlignment="1">
      <alignment horizontal="center" vertical="top" wrapText="1"/>
    </xf>
    <xf numFmtId="0" fontId="1" fillId="10" borderId="10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2">
    <cellStyle name="Standard" xfId="0" builtinId="0"/>
    <cellStyle name="Обычный_CRF2002 (1)" xfId="1"/>
  </cellStyles>
  <dxfs count="0"/>
  <tableStyles count="0" defaultTableStyle="TableStyleMedium2" defaultPivotStyle="PivotStyleLight16"/>
  <colors>
    <mruColors>
      <color rgb="FF5BD1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7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openxmlformats.org/officeDocument/2006/relationships/externalLink" Target="externalLinks/externalLink10.xml"/><Relationship Id="rId47" Type="http://schemas.openxmlformats.org/officeDocument/2006/relationships/externalLink" Target="externalLinks/externalLink15.xml"/><Relationship Id="rId50" Type="http://schemas.openxmlformats.org/officeDocument/2006/relationships/externalLink" Target="externalLinks/externalLink18.xml"/><Relationship Id="rId55" Type="http://schemas.openxmlformats.org/officeDocument/2006/relationships/externalLink" Target="externalLinks/externalLink23.xml"/><Relationship Id="rId63" Type="http://schemas.openxmlformats.org/officeDocument/2006/relationships/externalLink" Target="externalLinks/externalLink31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externalLink" Target="externalLinks/externalLink8.xml"/><Relationship Id="rId45" Type="http://schemas.openxmlformats.org/officeDocument/2006/relationships/externalLink" Target="externalLinks/externalLink13.xml"/><Relationship Id="rId53" Type="http://schemas.openxmlformats.org/officeDocument/2006/relationships/externalLink" Target="externalLinks/externalLink21.xml"/><Relationship Id="rId58" Type="http://schemas.openxmlformats.org/officeDocument/2006/relationships/externalLink" Target="externalLinks/externalLink26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49" Type="http://schemas.openxmlformats.org/officeDocument/2006/relationships/externalLink" Target="externalLinks/externalLink17.xml"/><Relationship Id="rId57" Type="http://schemas.openxmlformats.org/officeDocument/2006/relationships/externalLink" Target="externalLinks/externalLink25.xml"/><Relationship Id="rId61" Type="http://schemas.openxmlformats.org/officeDocument/2006/relationships/externalLink" Target="externalLinks/externalLink2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2.xml"/><Relationship Id="rId52" Type="http://schemas.openxmlformats.org/officeDocument/2006/relationships/externalLink" Target="externalLinks/externalLink20.xml"/><Relationship Id="rId60" Type="http://schemas.openxmlformats.org/officeDocument/2006/relationships/externalLink" Target="externalLinks/externalLink28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43" Type="http://schemas.openxmlformats.org/officeDocument/2006/relationships/externalLink" Target="externalLinks/externalLink11.xml"/><Relationship Id="rId48" Type="http://schemas.openxmlformats.org/officeDocument/2006/relationships/externalLink" Target="externalLinks/externalLink16.xml"/><Relationship Id="rId56" Type="http://schemas.openxmlformats.org/officeDocument/2006/relationships/externalLink" Target="externalLinks/externalLink24.xml"/><Relationship Id="rId64" Type="http://schemas.openxmlformats.org/officeDocument/2006/relationships/externalLink" Target="externalLinks/externalLink3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46" Type="http://schemas.openxmlformats.org/officeDocument/2006/relationships/externalLink" Target="externalLinks/externalLink14.xml"/><Relationship Id="rId59" Type="http://schemas.openxmlformats.org/officeDocument/2006/relationships/externalLink" Target="externalLinks/externalLink27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9.xml"/><Relationship Id="rId54" Type="http://schemas.openxmlformats.org/officeDocument/2006/relationships/externalLink" Target="externalLinks/externalLink22.xml"/><Relationship Id="rId62" Type="http://schemas.openxmlformats.org/officeDocument/2006/relationships/externalLink" Target="externalLinks/externalLink3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AUT_2020_201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EST_2020_201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FIN_2020_2018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FRA_2020_2018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Work\_AG\Nina%20Martin\CRF2020\fra-2020-crf-15apr20\FRA_2020_2018_07042020_23482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GBR_2020_201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GRC_2020_2018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HRV_2020_2018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HUN_2020_2018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IRL_2020_2018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Work\_AG\Nina%20Martin\CRF2020\irl-2020-crf-15apr20\IRL_2020_2018_07042020_2030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BEL_2020_2018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ITA_2020_2018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LTU_2020_201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Work\_AG\Nina%20Martin\CRF2020\ltu-2020-crf-15apr20\LTU_2020_2018_15042020_17190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LUX_2020_2018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LVA_2020_2018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MLT_2020_2018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NLD_2020_2018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POL_2020_2018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PRT_2020_2018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ROU_2020_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BGR_2020_2018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SVK_2020_2018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SVN_2020_2018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SWE_2020_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CYP_2020_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CZE_2020_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DEU_2020_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DNK_2020_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Work\_AG\Nina%20Martin\CRF2020\dnk-2020-crf-25may20\DNK_2020_2018_25052020_13040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sterarbeit\CRF2020\ESP_2020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7">
          <cell r="C7" t="str">
            <v>NO</v>
          </cell>
        </row>
        <row r="9">
          <cell r="C9" t="str">
            <v>NO</v>
          </cell>
          <cell r="D9" t="str">
            <v>NO</v>
          </cell>
        </row>
        <row r="10">
          <cell r="C10">
            <v>2.158741791688E-2</v>
          </cell>
          <cell r="D10">
            <v>2.9607386005999999E-4</v>
          </cell>
        </row>
        <row r="11">
          <cell r="B11">
            <v>96.50298166666667</v>
          </cell>
        </row>
        <row r="12">
          <cell r="B12">
            <v>23.88983142857143</v>
          </cell>
        </row>
        <row r="13">
          <cell r="B13" t="str">
            <v>NA</v>
          </cell>
        </row>
        <row r="14">
          <cell r="B14" t="str">
            <v>NA</v>
          </cell>
          <cell r="C14" t="str">
            <v>NA</v>
          </cell>
          <cell r="D14" t="str">
            <v>NA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7">
          <cell r="C17">
            <v>12954</v>
          </cell>
          <cell r="E17">
            <v>0.16692154285714</v>
          </cell>
        </row>
      </sheetData>
      <sheetData sheetId="30" refreshError="1"/>
      <sheetData sheetId="31" refreshError="1"/>
      <sheetData sheetId="32" refreshError="1"/>
      <sheetData sheetId="33">
        <row r="8">
          <cell r="C8">
            <v>6.4211399999999997E-3</v>
          </cell>
        </row>
        <row r="11">
          <cell r="B11">
            <v>105.38455790179151</v>
          </cell>
        </row>
        <row r="14">
          <cell r="B14">
            <v>290.52940917802289</v>
          </cell>
        </row>
      </sheetData>
      <sheetData sheetId="34">
        <row r="17">
          <cell r="L17">
            <v>8387</v>
          </cell>
        </row>
      </sheetData>
      <sheetData sheetId="35">
        <row r="10">
          <cell r="C10">
            <v>4046</v>
          </cell>
        </row>
      </sheetData>
      <sheetData sheetId="36">
        <row r="10">
          <cell r="C10">
            <v>1405.3844833907574</v>
          </cell>
          <cell r="D10">
            <v>1405.3844833907574</v>
          </cell>
          <cell r="E10" t="str">
            <v>NO</v>
          </cell>
          <cell r="P10">
            <v>-22.589671107361418</v>
          </cell>
          <cell r="Q10" t="str">
            <v>NO</v>
          </cell>
        </row>
      </sheetData>
      <sheetData sheetId="37">
        <row r="10">
          <cell r="C10">
            <v>1334.9950014344565</v>
          </cell>
          <cell r="D10">
            <v>1322.0410014344566</v>
          </cell>
          <cell r="E10">
            <v>12.954000000000001</v>
          </cell>
          <cell r="P10">
            <v>64.747743899013656</v>
          </cell>
          <cell r="Q10">
            <v>-82.936689600000008</v>
          </cell>
        </row>
      </sheetData>
      <sheetData sheetId="38">
        <row r="10">
          <cell r="C10">
            <v>153.30910759999998</v>
          </cell>
        </row>
      </sheetData>
      <sheetData sheetId="39">
        <row r="10">
          <cell r="C10">
            <v>568.08463410000013</v>
          </cell>
        </row>
      </sheetData>
      <sheetData sheetId="40">
        <row r="10">
          <cell r="C10">
            <v>879.22677347478646</v>
          </cell>
        </row>
      </sheetData>
      <sheetData sheetId="41" refreshError="1"/>
      <sheetData sheetId="42">
        <row r="10">
          <cell r="H10" t="str">
            <v>NO</v>
          </cell>
        </row>
        <row r="18">
          <cell r="I18" t="str">
            <v>NO</v>
          </cell>
        </row>
        <row r="22">
          <cell r="C22" t="str">
            <v>NO</v>
          </cell>
          <cell r="G22" t="str">
            <v>NO</v>
          </cell>
          <cell r="H22" t="str">
            <v>NO</v>
          </cell>
          <cell r="I22" t="str">
            <v>NO</v>
          </cell>
        </row>
        <row r="26">
          <cell r="I26">
            <v>0.95147130000000002</v>
          </cell>
        </row>
        <row r="30">
          <cell r="C30" t="str">
            <v>NO</v>
          </cell>
          <cell r="G30" t="str">
            <v>NO</v>
          </cell>
          <cell r="H30" t="str">
            <v>NO</v>
          </cell>
          <cell r="I30" t="str">
            <v>NO</v>
          </cell>
        </row>
      </sheetData>
      <sheetData sheetId="43">
        <row r="10">
          <cell r="B10">
            <v>76.076725238690074</v>
          </cell>
        </row>
        <row r="14">
          <cell r="B14">
            <v>61.160157453298751</v>
          </cell>
          <cell r="D14">
            <v>7.7387256259689993E-2</v>
          </cell>
        </row>
        <row r="18">
          <cell r="B18" t="str">
            <v>NO</v>
          </cell>
          <cell r="D18" t="str">
            <v>NO</v>
          </cell>
        </row>
      </sheetData>
      <sheetData sheetId="44">
        <row r="9">
          <cell r="E9">
            <v>4.6069555978430002E-2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7">
          <cell r="B7">
            <v>61408.433871693218</v>
          </cell>
          <cell r="C7">
            <v>258.50316477650495</v>
          </cell>
          <cell r="D7">
            <v>12.284262578862419</v>
          </cell>
        </row>
      </sheetData>
      <sheetData sheetId="54">
        <row r="8">
          <cell r="B8">
            <v>120.3928130952381</v>
          </cell>
          <cell r="C8">
            <v>186.53534700240178</v>
          </cell>
          <cell r="D8">
            <v>8.1898477852205804</v>
          </cell>
        </row>
        <row r="9">
          <cell r="C9">
            <v>164.71216917455632</v>
          </cell>
        </row>
        <row r="10">
          <cell r="C10">
            <v>21.801590409928568</v>
          </cell>
          <cell r="D10">
            <v>1.4799675256325</v>
          </cell>
        </row>
        <row r="12">
          <cell r="C12" t="str">
            <v>NA</v>
          </cell>
          <cell r="D12">
            <v>6.7095841857280201</v>
          </cell>
        </row>
        <row r="21">
          <cell r="C21" t="str">
            <v>NO,IE</v>
          </cell>
          <cell r="D21">
            <v>7.7387256259689993E-2</v>
          </cell>
        </row>
        <row r="22">
          <cell r="C22">
            <v>0.95147130000000002</v>
          </cell>
          <cell r="D22" t="str">
            <v>NO</v>
          </cell>
        </row>
      </sheetData>
      <sheetData sheetId="55" refreshError="1"/>
      <sheetData sheetId="56">
        <row r="7">
          <cell r="C7">
            <v>6462.5791194126241</v>
          </cell>
          <cell r="D7">
            <v>3660.7102485010009</v>
          </cell>
          <cell r="J7">
            <v>73797.666819953301</v>
          </cell>
        </row>
        <row r="28">
          <cell r="C28">
            <v>4663.383675060044</v>
          </cell>
          <cell r="D28">
            <v>2440.5746399957329</v>
          </cell>
          <cell r="J28">
            <v>7224.3511281510155</v>
          </cell>
        </row>
        <row r="29">
          <cell r="C29">
            <v>4117.8042293639082</v>
          </cell>
          <cell r="J29">
            <v>4117.8042293639082</v>
          </cell>
        </row>
        <row r="30">
          <cell r="C30">
            <v>545.03976024821429</v>
          </cell>
          <cell r="D30">
            <v>441.03032263848502</v>
          </cell>
          <cell r="J30">
            <v>986.0700828866992</v>
          </cell>
        </row>
        <row r="32">
          <cell r="D32">
            <v>1999.45608734695</v>
          </cell>
          <cell r="J32">
            <v>1999.45608734695</v>
          </cell>
        </row>
        <row r="41">
          <cell r="C41" t="str">
            <v>NO,IE</v>
          </cell>
          <cell r="D41">
            <v>23.061402365387622</v>
          </cell>
          <cell r="J41">
            <v>128.44596026717912</v>
          </cell>
        </row>
        <row r="42">
          <cell r="C42">
            <v>23.786782500000001</v>
          </cell>
          <cell r="D42" t="str">
            <v>NO</v>
          </cell>
          <cell r="J42">
            <v>314.3161916780229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C7" t="str">
            <v>NO</v>
          </cell>
        </row>
        <row r="9">
          <cell r="C9" t="str">
            <v>NO</v>
          </cell>
          <cell r="D9" t="str">
            <v>NO</v>
          </cell>
        </row>
        <row r="10">
          <cell r="C10" t="str">
            <v>NO</v>
          </cell>
          <cell r="D10" t="str">
            <v>NO</v>
          </cell>
        </row>
        <row r="11">
          <cell r="B11">
            <v>19.273540000000001</v>
          </cell>
        </row>
        <row r="12">
          <cell r="B12">
            <v>0.13287868337163999</v>
          </cell>
        </row>
        <row r="13">
          <cell r="B13" t="str">
            <v>NO</v>
          </cell>
        </row>
        <row r="14">
          <cell r="B14" t="str">
            <v>NO</v>
          </cell>
          <cell r="C14" t="str">
            <v>NO</v>
          </cell>
          <cell r="D14" t="str">
            <v>NO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7">
          <cell r="C17">
            <v>39091</v>
          </cell>
          <cell r="E17">
            <v>0.49142971428570997</v>
          </cell>
        </row>
      </sheetData>
      <sheetData sheetId="30"/>
      <sheetData sheetId="31"/>
      <sheetData sheetId="32"/>
      <sheetData sheetId="33">
        <row r="8">
          <cell r="C8">
            <v>2.6669705181707002</v>
          </cell>
        </row>
        <row r="11">
          <cell r="B11">
            <v>305.30161910623701</v>
          </cell>
        </row>
        <row r="14">
          <cell r="B14">
            <v>38.43239354661479</v>
          </cell>
        </row>
      </sheetData>
      <sheetData sheetId="34">
        <row r="17">
          <cell r="L17">
            <v>4533.9009999999998</v>
          </cell>
        </row>
      </sheetData>
      <sheetData sheetId="35">
        <row r="10">
          <cell r="C10">
            <v>2446.2800000000002</v>
          </cell>
        </row>
      </sheetData>
      <sheetData sheetId="36">
        <row r="10">
          <cell r="C10">
            <v>1003.2609999999999</v>
          </cell>
          <cell r="D10">
            <v>974.86699999999996</v>
          </cell>
          <cell r="E10">
            <v>28.393999999999998</v>
          </cell>
          <cell r="P10">
            <v>96.280594362858508</v>
          </cell>
          <cell r="Q10">
            <v>-173.20339999999999</v>
          </cell>
        </row>
      </sheetData>
      <sheetData sheetId="37">
        <row r="10">
          <cell r="C10">
            <v>275.41399999999999</v>
          </cell>
          <cell r="D10">
            <v>227.38</v>
          </cell>
          <cell r="E10">
            <v>48.033999999999999</v>
          </cell>
          <cell r="P10">
            <v>17.200743681033661</v>
          </cell>
          <cell r="Q10">
            <v>-24.271981263947751</v>
          </cell>
        </row>
      </sheetData>
      <sheetData sheetId="38">
        <row r="10">
          <cell r="C10">
            <v>28.225999999999999</v>
          </cell>
        </row>
      </sheetData>
      <sheetData sheetId="39">
        <row r="10">
          <cell r="C10">
            <v>347.57099999999997</v>
          </cell>
        </row>
      </sheetData>
      <sheetData sheetId="40">
        <row r="10">
          <cell r="C10">
            <v>37.543999999999997</v>
          </cell>
        </row>
      </sheetData>
      <sheetData sheetId="41"/>
      <sheetData sheetId="42">
        <row r="10">
          <cell r="H10">
            <v>0.87243633714285995</v>
          </cell>
        </row>
        <row r="18">
          <cell r="I18" t="str">
            <v>NA</v>
          </cell>
        </row>
        <row r="22">
          <cell r="C22" t="str">
            <v>NA</v>
          </cell>
          <cell r="G22" t="str">
            <v>NA</v>
          </cell>
          <cell r="H22" t="str">
            <v>NA</v>
          </cell>
          <cell r="I22" t="str">
            <v>NA</v>
          </cell>
        </row>
        <row r="26">
          <cell r="I26" t="str">
            <v>NA</v>
          </cell>
        </row>
        <row r="30">
          <cell r="C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</row>
      </sheetData>
      <sheetData sheetId="43">
        <row r="10">
          <cell r="B10">
            <v>1884.9580000000001</v>
          </cell>
        </row>
        <row r="13">
          <cell r="B13">
            <v>15.170999999999999</v>
          </cell>
          <cell r="D13">
            <v>7.0257073632799998E-3</v>
          </cell>
        </row>
        <row r="15">
          <cell r="B15">
            <v>227.38</v>
          </cell>
          <cell r="D15" t="str">
            <v>NO</v>
          </cell>
        </row>
      </sheetData>
      <sheetData sheetId="44">
        <row r="9">
          <cell r="E9">
            <v>1.4258797098339999E-2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7">
          <cell r="B7">
            <v>15368.832557149221</v>
          </cell>
          <cell r="C7">
            <v>47.3681941652398</v>
          </cell>
          <cell r="D7">
            <v>4.0179026940669598</v>
          </cell>
        </row>
      </sheetData>
      <sheetData sheetId="54">
        <row r="8">
          <cell r="B8">
            <v>19.406418683371641</v>
          </cell>
          <cell r="C8">
            <v>26.999005143700948</v>
          </cell>
          <cell r="D8">
            <v>2.4946531918266399</v>
          </cell>
        </row>
        <row r="9">
          <cell r="C9">
            <v>21.588031187081189</v>
          </cell>
        </row>
        <row r="10">
          <cell r="C10">
            <v>5.4109739566197597</v>
          </cell>
          <cell r="D10">
            <v>0.21459671201318001</v>
          </cell>
        </row>
        <row r="12">
          <cell r="C12" t="str">
            <v>NO</v>
          </cell>
          <cell r="D12">
            <v>2.2800564798134602</v>
          </cell>
        </row>
        <row r="21">
          <cell r="C21" t="str">
            <v>NO,NA</v>
          </cell>
          <cell r="D21">
            <v>7.0257073632799998E-3</v>
          </cell>
        </row>
        <row r="22">
          <cell r="C22">
            <v>1.8602640602999999E-3</v>
          </cell>
          <cell r="D22">
            <v>1.6985019681E-4</v>
          </cell>
        </row>
      </sheetData>
      <sheetData sheetId="55"/>
      <sheetData sheetId="56">
        <row r="7">
          <cell r="C7">
            <v>1184.204854130995</v>
          </cell>
          <cell r="D7">
            <v>1197.3350028319542</v>
          </cell>
          <cell r="J7">
            <v>17983.963586755508</v>
          </cell>
        </row>
        <row r="28">
          <cell r="C28">
            <v>674.97512859252379</v>
          </cell>
          <cell r="D28">
            <v>743.40665116433877</v>
          </cell>
          <cell r="J28">
            <v>1437.7881984402341</v>
          </cell>
        </row>
        <row r="29">
          <cell r="C29">
            <v>539.7007796770298</v>
          </cell>
          <cell r="J29">
            <v>539.7007796770298</v>
          </cell>
        </row>
        <row r="30">
          <cell r="C30">
            <v>135.27434891549399</v>
          </cell>
          <cell r="D30">
            <v>63.949820179927642</v>
          </cell>
          <cell r="J30">
            <v>199.22416909542164</v>
          </cell>
        </row>
        <row r="32">
          <cell r="D32">
            <v>679.45683098441111</v>
          </cell>
          <cell r="J32">
            <v>679.45683098441111</v>
          </cell>
        </row>
        <row r="41">
          <cell r="C41" t="str">
            <v>NO,NA</v>
          </cell>
          <cell r="D41">
            <v>2.0936607942574401</v>
          </cell>
          <cell r="J41">
            <v>307.39527990049447</v>
          </cell>
        </row>
        <row r="42">
          <cell r="C42">
            <v>4.6506601507500002E-2</v>
          </cell>
          <cell r="D42">
            <v>5.061535864938E-2</v>
          </cell>
          <cell r="J42">
            <v>38.529515506771673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C7" t="str">
            <v>NO</v>
          </cell>
        </row>
        <row r="9">
          <cell r="C9" t="str">
            <v>NO</v>
          </cell>
          <cell r="D9" t="str">
            <v>NO</v>
          </cell>
        </row>
        <row r="10">
          <cell r="C10">
            <v>6.4202989761220006E-2</v>
          </cell>
          <cell r="D10">
            <v>1.66452195677E-3</v>
          </cell>
        </row>
        <row r="11">
          <cell r="B11">
            <v>210.28045719999997</v>
          </cell>
        </row>
        <row r="12">
          <cell r="B12">
            <v>1.4790165859058999</v>
          </cell>
        </row>
        <row r="13">
          <cell r="B13" t="str">
            <v>NA</v>
          </cell>
        </row>
        <row r="14">
          <cell r="B14" t="str">
            <v>NO</v>
          </cell>
          <cell r="C14" t="str">
            <v>NO</v>
          </cell>
          <cell r="D14" t="str">
            <v>NO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7">
          <cell r="C17">
            <v>329424</v>
          </cell>
          <cell r="E17">
            <v>5.0381655886115304</v>
          </cell>
        </row>
      </sheetData>
      <sheetData sheetId="30"/>
      <sheetData sheetId="31"/>
      <sheetData sheetId="32"/>
      <sheetData sheetId="33">
        <row r="8">
          <cell r="C8">
            <v>27.708905000000001</v>
          </cell>
        </row>
        <row r="11">
          <cell r="B11">
            <v>8055.589666666674</v>
          </cell>
        </row>
        <row r="14">
          <cell r="B14">
            <v>728.17720566666731</v>
          </cell>
        </row>
      </sheetData>
      <sheetData sheetId="34">
        <row r="17">
          <cell r="L17">
            <v>33843.472999999998</v>
          </cell>
        </row>
      </sheetData>
      <sheetData sheetId="35">
        <row r="10">
          <cell r="C10">
            <v>21865.524000000001</v>
          </cell>
        </row>
      </sheetData>
      <sheetData sheetId="36">
        <row r="10">
          <cell r="C10">
            <v>2489.5</v>
          </cell>
          <cell r="D10">
            <v>2226.982</v>
          </cell>
          <cell r="E10">
            <v>262.51799999999997</v>
          </cell>
          <cell r="P10">
            <v>-405.678</v>
          </cell>
          <cell r="Q10">
            <v>-1722.1849999999999</v>
          </cell>
        </row>
      </sheetData>
      <sheetData sheetId="37">
        <row r="10">
          <cell r="C10">
            <v>243.81399999999999</v>
          </cell>
          <cell r="D10">
            <v>176.90799999999999</v>
          </cell>
          <cell r="E10">
            <v>66.906000000000006</v>
          </cell>
          <cell r="P10">
            <v>6.4450000000000003</v>
          </cell>
          <cell r="Q10">
            <v>-234.17099999999999</v>
          </cell>
        </row>
      </sheetData>
      <sheetData sheetId="38">
        <row r="10">
          <cell r="C10">
            <v>6440.2039999999997</v>
          </cell>
        </row>
      </sheetData>
      <sheetData sheetId="39">
        <row r="10">
          <cell r="C10">
            <v>1494.441</v>
          </cell>
        </row>
      </sheetData>
      <sheetData sheetId="40">
        <row r="10">
          <cell r="C10">
            <v>1309.99</v>
          </cell>
        </row>
      </sheetData>
      <sheetData sheetId="41"/>
      <sheetData sheetId="42">
        <row r="10">
          <cell r="H10">
            <v>6.2220000000000004</v>
          </cell>
        </row>
        <row r="18">
          <cell r="I18" t="str">
            <v>NA</v>
          </cell>
        </row>
        <row r="22">
          <cell r="C22" t="str">
            <v>NA</v>
          </cell>
          <cell r="G22" t="str">
            <v>NA</v>
          </cell>
          <cell r="H22" t="str">
            <v>NA</v>
          </cell>
          <cell r="I22" t="str">
            <v>NA</v>
          </cell>
        </row>
        <row r="26">
          <cell r="I26" t="str">
            <v>NE,NA</v>
          </cell>
        </row>
        <row r="30">
          <cell r="C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</row>
      </sheetData>
      <sheetData sheetId="43">
        <row r="10">
          <cell r="B10">
            <v>57.015000000000001</v>
          </cell>
        </row>
        <row r="18">
          <cell r="B18">
            <v>69.606999999999999</v>
          </cell>
          <cell r="D18">
            <v>2.4E-2</v>
          </cell>
        </row>
        <row r="24">
          <cell r="B24">
            <v>50.223999999999997</v>
          </cell>
          <cell r="D24">
            <v>2.5000000000000001E-3</v>
          </cell>
        </row>
      </sheetData>
      <sheetData sheetId="44">
        <row r="9">
          <cell r="E9">
            <v>5.8999999999999999E-3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7">
          <cell r="B7">
            <v>32791.988170380042</v>
          </cell>
          <cell r="C7">
            <v>212.4115857307421</v>
          </cell>
          <cell r="D7">
            <v>22.782116353587881</v>
          </cell>
        </row>
      </sheetData>
      <sheetData sheetId="54">
        <row r="8">
          <cell r="B8">
            <v>211.75947378590587</v>
          </cell>
          <cell r="C8">
            <v>101.2469701057979</v>
          </cell>
          <cell r="D8">
            <v>12.81731188462393</v>
          </cell>
        </row>
        <row r="9">
          <cell r="C9">
            <v>83.129794265082836</v>
          </cell>
        </row>
        <row r="10">
          <cell r="C10">
            <v>18.052972850953839</v>
          </cell>
          <cell r="D10">
            <v>0.93535542511962</v>
          </cell>
        </row>
        <row r="12">
          <cell r="C12" t="str">
            <v>NE,NO</v>
          </cell>
          <cell r="D12">
            <v>11.88029193754754</v>
          </cell>
        </row>
        <row r="21">
          <cell r="C21" t="str">
            <v>IE,NA</v>
          </cell>
          <cell r="D21">
            <v>2.4E-2</v>
          </cell>
        </row>
        <row r="22">
          <cell r="C22">
            <v>1.018E-3</v>
          </cell>
          <cell r="D22">
            <v>2.5929999999999998E-3</v>
          </cell>
        </row>
      </sheetData>
      <sheetData sheetId="55"/>
      <sheetData sheetId="56">
        <row r="7">
          <cell r="C7">
            <v>5310.2896432685529</v>
          </cell>
          <cell r="D7">
            <v>6789.0706733691886</v>
          </cell>
          <cell r="J7">
            <v>46091.243615736661</v>
          </cell>
        </row>
        <row r="28">
          <cell r="C28">
            <v>2531.1742526449475</v>
          </cell>
          <cell r="D28">
            <v>3819.5589416179309</v>
          </cell>
          <cell r="J28">
            <v>6562.4926680487843</v>
          </cell>
        </row>
        <row r="29">
          <cell r="C29">
            <v>2078.2448566270709</v>
          </cell>
          <cell r="J29">
            <v>2078.2448566270709</v>
          </cell>
        </row>
        <row r="30">
          <cell r="C30">
            <v>451.32432127384601</v>
          </cell>
          <cell r="D30">
            <v>278.73591668564677</v>
          </cell>
          <cell r="J30">
            <v>730.06023795949272</v>
          </cell>
        </row>
        <row r="32">
          <cell r="D32">
            <v>3540.326997389167</v>
          </cell>
          <cell r="J32">
            <v>3540.326997389167</v>
          </cell>
        </row>
        <row r="41">
          <cell r="C41" t="str">
            <v>IE,NA</v>
          </cell>
          <cell r="D41">
            <v>7.1520000000000001</v>
          </cell>
          <cell r="J41">
            <v>8062.7416666666741</v>
          </cell>
        </row>
        <row r="42">
          <cell r="C42">
            <v>2.545E-2</v>
          </cell>
          <cell r="D42">
            <v>0.77271400000000001</v>
          </cell>
          <cell r="J42">
            <v>728.97536966666735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C7">
            <v>2.5231028263055402</v>
          </cell>
        </row>
        <row r="9">
          <cell r="C9" t="str">
            <v>NO</v>
          </cell>
          <cell r="D9" t="str">
            <v>NO</v>
          </cell>
        </row>
        <row r="10">
          <cell r="C10">
            <v>1.8343962207381801</v>
          </cell>
          <cell r="D10">
            <v>4.7558420537659997E-2</v>
          </cell>
        </row>
        <row r="11">
          <cell r="B11">
            <v>731.53881291764696</v>
          </cell>
        </row>
        <row r="12">
          <cell r="B12">
            <v>1287.0492380952401</v>
          </cell>
        </row>
        <row r="13">
          <cell r="B13" t="str">
            <v>NO</v>
          </cell>
        </row>
        <row r="14">
          <cell r="B14" t="str">
            <v>NO</v>
          </cell>
          <cell r="C14" t="str">
            <v>NO</v>
          </cell>
          <cell r="D14" t="str">
            <v>NO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7">
          <cell r="C17">
            <v>139055.845</v>
          </cell>
          <cell r="E17">
            <v>1.75212833714286</v>
          </cell>
        </row>
      </sheetData>
      <sheetData sheetId="30"/>
      <sheetData sheetId="31"/>
      <sheetData sheetId="32"/>
      <sheetData sheetId="33">
        <row r="8">
          <cell r="C8">
            <v>26.255733392900002</v>
          </cell>
        </row>
        <row r="11">
          <cell r="B11">
            <v>17655.22430734368</v>
          </cell>
        </row>
        <row r="14">
          <cell r="B14">
            <v>-7757.9584269530078</v>
          </cell>
        </row>
      </sheetData>
      <sheetData sheetId="34">
        <row r="17">
          <cell r="L17">
            <v>66547.389218284487</v>
          </cell>
        </row>
      </sheetData>
      <sheetData sheetId="35">
        <row r="10">
          <cell r="C10">
            <v>24658.766933170999</v>
          </cell>
        </row>
      </sheetData>
      <sheetData sheetId="36">
        <row r="10">
          <cell r="C10">
            <v>18165.760929662902</v>
          </cell>
          <cell r="D10">
            <v>18085.321484059899</v>
          </cell>
          <cell r="E10">
            <v>80.439445602999996</v>
          </cell>
          <cell r="P10">
            <v>-3054.398331979</v>
          </cell>
          <cell r="Q10" t="str">
            <v>NO,IE</v>
          </cell>
        </row>
      </sheetData>
      <sheetData sheetId="37">
        <row r="10">
          <cell r="C10">
            <v>15154.405387033999</v>
          </cell>
          <cell r="D10">
            <v>15095.788987665999</v>
          </cell>
          <cell r="E10">
            <v>58.616399368000003</v>
          </cell>
          <cell r="P10">
            <v>2400.068282578</v>
          </cell>
          <cell r="Q10" t="str">
            <v>NO,IE</v>
          </cell>
        </row>
      </sheetData>
      <sheetData sheetId="38">
        <row r="10">
          <cell r="C10">
            <v>1179.3073660499999</v>
          </cell>
        </row>
      </sheetData>
      <sheetData sheetId="39">
        <row r="10">
          <cell r="C10">
            <v>5839.3625221780003</v>
          </cell>
        </row>
      </sheetData>
      <sheetData sheetId="40">
        <row r="10">
          <cell r="C10">
            <v>1549.7860797594001</v>
          </cell>
        </row>
      </sheetData>
      <sheetData sheetId="41"/>
      <sheetData sheetId="42">
        <row r="10">
          <cell r="H10" t="str">
            <v>NO</v>
          </cell>
        </row>
        <row r="18">
          <cell r="I18">
            <v>1.1130000000000001E-3</v>
          </cell>
        </row>
        <row r="22">
          <cell r="C22">
            <v>18085.321484</v>
          </cell>
          <cell r="G22" t="str">
            <v>NO,NA</v>
          </cell>
          <cell r="H22" t="str">
            <v>NA</v>
          </cell>
          <cell r="I22" t="str">
            <v>NO,NA</v>
          </cell>
        </row>
        <row r="26">
          <cell r="I26">
            <v>2.2809515754</v>
          </cell>
        </row>
        <row r="30">
          <cell r="C30">
            <v>15095.788988</v>
          </cell>
          <cell r="G30" t="str">
            <v>NO,NA</v>
          </cell>
          <cell r="H30" t="str">
            <v>NA</v>
          </cell>
          <cell r="I30" t="str">
            <v>NO,NA</v>
          </cell>
        </row>
      </sheetData>
      <sheetData sheetId="43">
        <row r="10">
          <cell r="B10">
            <v>24658.7669331</v>
          </cell>
        </row>
        <row r="13">
          <cell r="B13">
            <v>3609.0871341000002</v>
          </cell>
          <cell r="D13">
            <v>5.0959640356999998</v>
          </cell>
        </row>
        <row r="15">
          <cell r="B15">
            <v>15154.4053876</v>
          </cell>
          <cell r="D15">
            <v>0.1447147053</v>
          </cell>
        </row>
      </sheetData>
      <sheetData sheetId="44">
        <row r="9">
          <cell r="E9">
            <v>1.5054173782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7">
          <cell r="B7">
            <v>308577.41692452208</v>
          </cell>
          <cell r="C7">
            <v>2309.1643198320003</v>
          </cell>
          <cell r="D7">
            <v>145.84299160535627</v>
          </cell>
        </row>
      </sheetData>
      <sheetData sheetId="54">
        <row r="8">
          <cell r="B8">
            <v>2018.588051012887</v>
          </cell>
          <cell r="C8">
            <v>1531.9010670404243</v>
          </cell>
          <cell r="D8">
            <v>116.48532668117431</v>
          </cell>
        </row>
        <row r="9">
          <cell r="C9">
            <v>1372.6434726217333</v>
          </cell>
        </row>
        <row r="10">
          <cell r="C10">
            <v>154.90009537164715</v>
          </cell>
          <cell r="D10">
            <v>8.4390453802376104</v>
          </cell>
        </row>
        <row r="12">
          <cell r="C12" t="str">
            <v>NO</v>
          </cell>
          <cell r="D12">
            <v>107.99872288039904</v>
          </cell>
        </row>
        <row r="21">
          <cell r="C21">
            <v>4.6388073838999997</v>
          </cell>
          <cell r="D21">
            <v>5.2470135654380003</v>
          </cell>
        </row>
        <row r="22">
          <cell r="C22">
            <v>6.7330609111999999</v>
          </cell>
          <cell r="D22">
            <v>0.33421013145790002</v>
          </cell>
        </row>
      </sheetData>
      <sheetData sheetId="55"/>
      <sheetData sheetId="56">
        <row r="7">
          <cell r="C7">
            <v>57729.107995800005</v>
          </cell>
          <cell r="D7">
            <v>43461.211498396166</v>
          </cell>
          <cell r="J7">
            <v>426828.05915510515</v>
          </cell>
        </row>
        <row r="28">
          <cell r="C28">
            <v>38297.52667601061</v>
          </cell>
          <cell r="D28">
            <v>34712.627350989947</v>
          </cell>
          <cell r="J28">
            <v>75028.742078013442</v>
          </cell>
        </row>
        <row r="29">
          <cell r="C29">
            <v>34316.086815543335</v>
          </cell>
          <cell r="J29">
            <v>34316.086815543335</v>
          </cell>
        </row>
        <row r="30">
          <cell r="C30">
            <v>3872.5023842911787</v>
          </cell>
          <cell r="D30">
            <v>2514.8355233108077</v>
          </cell>
          <cell r="J30">
            <v>6387.3379076019864</v>
          </cell>
        </row>
        <row r="32">
          <cell r="D32">
            <v>32183.619418358914</v>
          </cell>
          <cell r="J32">
            <v>32183.619418358914</v>
          </cell>
        </row>
        <row r="41">
          <cell r="C41">
            <v>115.97018459749999</v>
          </cell>
          <cell r="D41">
            <v>1563.6100425005241</v>
          </cell>
          <cell r="J41">
            <v>19334.804534441704</v>
          </cell>
        </row>
        <row r="42">
          <cell r="C42">
            <v>168.32652278</v>
          </cell>
          <cell r="D42">
            <v>99.594619174454195</v>
          </cell>
          <cell r="J42">
            <v>-7490.0372849985533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17">
          <cell r="G17">
            <v>2423.1123920999999</v>
          </cell>
        </row>
        <row r="25">
          <cell r="G25">
            <v>842.53056247999996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7">
          <cell r="C7" t="str">
            <v>NO</v>
          </cell>
        </row>
        <row r="9">
          <cell r="C9" t="str">
            <v>NO</v>
          </cell>
          <cell r="D9" t="str">
            <v>NO</v>
          </cell>
        </row>
        <row r="10">
          <cell r="C10" t="str">
            <v>NO</v>
          </cell>
          <cell r="D10" t="str">
            <v>NO</v>
          </cell>
        </row>
        <row r="11">
          <cell r="B11">
            <v>926.6728869663466</v>
          </cell>
        </row>
        <row r="12">
          <cell r="B12">
            <v>339.63706355694774</v>
          </cell>
        </row>
        <row r="13">
          <cell r="B13" t="str">
            <v/>
          </cell>
        </row>
        <row r="14">
          <cell r="B14">
            <v>3.16517615607586</v>
          </cell>
          <cell r="C14">
            <v>7.97214776392582</v>
          </cell>
          <cell r="D14">
            <v>0.40192854474185002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7">
          <cell r="C17">
            <v>285700.00000000006</v>
          </cell>
          <cell r="E17">
            <v>3.59165714285714</v>
          </cell>
        </row>
      </sheetData>
      <sheetData sheetId="30" refreshError="1"/>
      <sheetData sheetId="31" refreshError="1"/>
      <sheetData sheetId="32" refreshError="1"/>
      <sheetData sheetId="33" refreshError="1">
        <row r="8">
          <cell r="C8">
            <v>0.13110176144748001</v>
          </cell>
        </row>
        <row r="11">
          <cell r="B11">
            <v>11080.326401250075</v>
          </cell>
        </row>
        <row r="14">
          <cell r="B14">
            <v>-9004.5454636158156</v>
          </cell>
        </row>
      </sheetData>
      <sheetData sheetId="34" refreshError="1"/>
      <sheetData sheetId="35" refreshError="1"/>
      <sheetData sheetId="36" refreshError="1">
        <row r="10">
          <cell r="C10">
            <v>4691.8826290962388</v>
          </cell>
          <cell r="D10">
            <v>4598.2596290962392</v>
          </cell>
          <cell r="E10">
            <v>93.623000000000005</v>
          </cell>
          <cell r="P10">
            <v>-2631.8599899037208</v>
          </cell>
          <cell r="Q10">
            <v>-468.23824999999999</v>
          </cell>
        </row>
      </sheetData>
      <sheetData sheetId="37" refreshError="1">
        <row r="10">
          <cell r="C10">
            <v>15047.996933150975</v>
          </cell>
          <cell r="D10">
            <v>13634.987689001791</v>
          </cell>
          <cell r="P10">
            <v>2791.9080877068245</v>
          </cell>
          <cell r="Q10">
            <v>-49.81676103729604</v>
          </cell>
        </row>
        <row r="12">
          <cell r="E12">
            <v>192.87</v>
          </cell>
        </row>
        <row r="24">
          <cell r="E24">
            <v>6.3970441491841497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>
        <row r="10">
          <cell r="H10">
            <v>7.6189918338060006E-2</v>
          </cell>
        </row>
        <row r="35">
          <cell r="I35" t="str">
            <v>NO,NE,NA</v>
          </cell>
        </row>
        <row r="43">
          <cell r="C43" t="str">
            <v>NO,NE,NA</v>
          </cell>
          <cell r="G43" t="str">
            <v>NO,NE,NA</v>
          </cell>
          <cell r="H43" t="str">
            <v>NA</v>
          </cell>
          <cell r="I43" t="str">
            <v>NO,NE,NA</v>
          </cell>
        </row>
        <row r="49">
          <cell r="I49" t="str">
            <v>NE,NA</v>
          </cell>
        </row>
        <row r="57">
          <cell r="C57" t="str">
            <v>NE,NA</v>
          </cell>
          <cell r="G57" t="str">
            <v>NE,NA</v>
          </cell>
          <cell r="H57" t="str">
            <v>NA</v>
          </cell>
          <cell r="I57" t="str">
            <v>NE,NA</v>
          </cell>
        </row>
      </sheetData>
      <sheetData sheetId="43" refreshError="1">
        <row r="10">
          <cell r="B10">
            <v>323.33545001362984</v>
          </cell>
        </row>
        <row r="18">
          <cell r="B18">
            <v>1085.8788050892099</v>
          </cell>
          <cell r="D18">
            <v>1.5101232393022901</v>
          </cell>
        </row>
        <row r="22">
          <cell r="B22">
            <v>57.453671169461757</v>
          </cell>
          <cell r="D22">
            <v>6.729980976819E-2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7">
          <cell r="B7">
            <v>369249.13012006145</v>
          </cell>
          <cell r="C7">
            <v>2078.8613789526717</v>
          </cell>
          <cell r="D7">
            <v>69.822819924531586</v>
          </cell>
        </row>
      </sheetData>
      <sheetData sheetId="54" refreshError="1">
        <row r="8">
          <cell r="B8">
            <v>1269.4751266793701</v>
          </cell>
          <cell r="C8">
            <v>1022.9687016335077</v>
          </cell>
          <cell r="D8">
            <v>48.038770576979203</v>
          </cell>
        </row>
        <row r="9">
          <cell r="C9">
            <v>846.95159722240578</v>
          </cell>
        </row>
        <row r="10">
          <cell r="C10">
            <v>168.04495664717621</v>
          </cell>
          <cell r="D10">
            <v>9.4028126155681093</v>
          </cell>
        </row>
        <row r="12">
          <cell r="C12" t="str">
            <v>NE</v>
          </cell>
          <cell r="D12">
            <v>38.234029416669237</v>
          </cell>
        </row>
        <row r="21">
          <cell r="C21">
            <v>7.5600000000000005E-4</v>
          </cell>
          <cell r="D21">
            <v>1.51014283930229</v>
          </cell>
        </row>
        <row r="22">
          <cell r="C22">
            <v>0.81556644207151996</v>
          </cell>
          <cell r="D22">
            <v>0.78154180321317002</v>
          </cell>
        </row>
      </sheetData>
      <sheetData sheetId="55" refreshError="1"/>
      <sheetData sheetId="56" refreshError="1">
        <row r="7">
          <cell r="C7">
            <v>51971.534473816784</v>
          </cell>
          <cell r="D7">
            <v>20807.20033751041</v>
          </cell>
          <cell r="J7">
            <v>455963.87220613268</v>
          </cell>
        </row>
        <row r="28">
          <cell r="C28">
            <v>25574.217540837693</v>
          </cell>
          <cell r="D28">
            <v>14315.553631939802</v>
          </cell>
          <cell r="J28">
            <v>41159.246299456863</v>
          </cell>
        </row>
        <row r="29">
          <cell r="C29">
            <v>21173.789930560142</v>
          </cell>
          <cell r="J29">
            <v>21173.789930560142</v>
          </cell>
        </row>
        <row r="30">
          <cell r="C30">
            <v>4201.1239161794056</v>
          </cell>
          <cell r="D30">
            <v>2802.0381594392966</v>
          </cell>
          <cell r="J30">
            <v>7003.1620756187021</v>
          </cell>
        </row>
        <row r="32">
          <cell r="D32">
            <v>11393.740766167433</v>
          </cell>
          <cell r="J32">
            <v>11393.740766167433</v>
          </cell>
        </row>
        <row r="41">
          <cell r="C41">
            <v>1.89E-2</v>
          </cell>
          <cell r="D41">
            <v>450.02256611208242</v>
          </cell>
          <cell r="J41">
            <v>11530.367867362158</v>
          </cell>
        </row>
        <row r="42">
          <cell r="C42">
            <v>20.389161051788001</v>
          </cell>
          <cell r="D42">
            <v>232.89945735752465</v>
          </cell>
          <cell r="J42">
            <v>-8751.2568452065025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7">
          <cell r="C7">
            <v>6.88655142</v>
          </cell>
        </row>
        <row r="9">
          <cell r="C9" t="str">
            <v>NO</v>
          </cell>
          <cell r="D9" t="str">
            <v>NO</v>
          </cell>
        </row>
        <row r="10">
          <cell r="C10">
            <v>1.1878396560343001</v>
          </cell>
          <cell r="D10">
            <v>2.9386985910959999E-2</v>
          </cell>
        </row>
        <row r="11">
          <cell r="B11" t="str">
            <v>NO</v>
          </cell>
        </row>
        <row r="12">
          <cell r="B12">
            <v>32.909558642201418</v>
          </cell>
        </row>
        <row r="13">
          <cell r="B13" t="str">
            <v>NO</v>
          </cell>
        </row>
        <row r="14">
          <cell r="B14" t="str">
            <v/>
          </cell>
          <cell r="C14" t="str">
            <v/>
          </cell>
          <cell r="D14" t="str">
            <v/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7">
          <cell r="C17">
            <v>6664.5</v>
          </cell>
          <cell r="E17">
            <v>8.378228571429E-2</v>
          </cell>
        </row>
      </sheetData>
      <sheetData sheetId="30" refreshError="1"/>
      <sheetData sheetId="31" refreshError="1"/>
      <sheetData sheetId="32" refreshError="1"/>
      <sheetData sheetId="33">
        <row r="8">
          <cell r="C8">
            <v>0.15908450511410999</v>
          </cell>
        </row>
        <row r="11">
          <cell r="B11">
            <v>327.2937550150765</v>
          </cell>
        </row>
        <row r="14">
          <cell r="B14">
            <v>-1488.4629429828522</v>
          </cell>
        </row>
      </sheetData>
      <sheetData sheetId="34">
        <row r="17">
          <cell r="L17">
            <v>13198.18002201307</v>
          </cell>
        </row>
      </sheetData>
      <sheetData sheetId="35">
        <row r="10">
          <cell r="C10">
            <v>3468.1005054874549</v>
          </cell>
        </row>
      </sheetData>
      <sheetData sheetId="36">
        <row r="10">
          <cell r="C10">
            <v>3074.793571428575</v>
          </cell>
          <cell r="D10">
            <v>3068.1290714285751</v>
          </cell>
          <cell r="E10">
            <v>6.6645000000000003</v>
          </cell>
          <cell r="P10">
            <v>-3.8953704910812901</v>
          </cell>
          <cell r="Q10">
            <v>-66.644999999999996</v>
          </cell>
        </row>
      </sheetData>
      <sheetData sheetId="37">
        <row r="10">
          <cell r="C10">
            <v>5471.8171340602239</v>
          </cell>
          <cell r="D10">
            <v>5471.8171340602239</v>
          </cell>
          <cell r="E10" t="str">
            <v>NO</v>
          </cell>
          <cell r="P10">
            <v>526.84362240398946</v>
          </cell>
          <cell r="Q10" t="str">
            <v>NO</v>
          </cell>
        </row>
      </sheetData>
      <sheetData sheetId="38">
        <row r="10">
          <cell r="C10">
            <v>301.10209952417824</v>
          </cell>
        </row>
      </sheetData>
      <sheetData sheetId="39">
        <row r="10">
          <cell r="C10">
            <v>604.51500652562515</v>
          </cell>
        </row>
      </sheetData>
      <sheetData sheetId="40">
        <row r="10">
          <cell r="C10">
            <v>272.64935632397862</v>
          </cell>
        </row>
      </sheetData>
      <sheetData sheetId="41" refreshError="1"/>
      <sheetData sheetId="42">
        <row r="10">
          <cell r="H10" t="str">
            <v>NO</v>
          </cell>
        </row>
        <row r="23">
          <cell r="I23" t="str">
            <v>NO</v>
          </cell>
        </row>
        <row r="30">
          <cell r="C30" t="str">
            <v>NO</v>
          </cell>
          <cell r="G30" t="str">
            <v>NO</v>
          </cell>
          <cell r="H30" t="str">
            <v>NO</v>
          </cell>
          <cell r="I30" t="str">
            <v>NO</v>
          </cell>
        </row>
        <row r="36">
          <cell r="I36" t="str">
            <v>NO</v>
          </cell>
        </row>
        <row r="43">
          <cell r="C43" t="str">
            <v>NO</v>
          </cell>
          <cell r="G43" t="str">
            <v>NO</v>
          </cell>
          <cell r="H43" t="str">
            <v>NO</v>
          </cell>
          <cell r="I43" t="str">
            <v>NO</v>
          </cell>
        </row>
      </sheetData>
      <sheetData sheetId="43">
        <row r="10">
          <cell r="B10" t="str">
            <v>NO</v>
          </cell>
        </row>
        <row r="13">
          <cell r="B13">
            <v>5.4665718999250004</v>
          </cell>
          <cell r="D13">
            <v>4.08410170816E-3</v>
          </cell>
        </row>
        <row r="20">
          <cell r="B20">
            <v>739.55661097270399</v>
          </cell>
          <cell r="D20">
            <v>1.2631152586999999E-4</v>
          </cell>
        </row>
      </sheetData>
      <sheetData sheetId="44">
        <row r="9">
          <cell r="E9" t="str">
            <v>NE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7">
          <cell r="B7">
            <v>68784.868798346462</v>
          </cell>
          <cell r="C7">
            <v>404.41970178774653</v>
          </cell>
          <cell r="D7">
            <v>14.43143037843252</v>
          </cell>
        </row>
      </sheetData>
      <sheetData sheetId="54">
        <row r="8">
          <cell r="B8">
            <v>32.909558642201418</v>
          </cell>
          <cell r="C8">
            <v>177.09525187495132</v>
          </cell>
          <cell r="D8">
            <v>11.144990577753729</v>
          </cell>
        </row>
        <row r="9">
          <cell r="C9">
            <v>144.06778194419283</v>
          </cell>
        </row>
        <row r="10">
          <cell r="C10">
            <v>24.95307885472419</v>
          </cell>
          <cell r="D10">
            <v>0.96230974952084003</v>
          </cell>
        </row>
        <row r="12">
          <cell r="C12" t="str">
            <v>NE</v>
          </cell>
          <cell r="D12">
            <v>10.153293842321929</v>
          </cell>
        </row>
        <row r="21">
          <cell r="C21" t="str">
            <v>NO</v>
          </cell>
          <cell r="D21">
            <v>4.08410170816E-3</v>
          </cell>
        </row>
        <row r="22">
          <cell r="C22">
            <v>0.61767024804346005</v>
          </cell>
          <cell r="D22">
            <v>4.3727944811699998E-3</v>
          </cell>
        </row>
      </sheetData>
      <sheetData sheetId="55" refreshError="1"/>
      <sheetData sheetId="56">
        <row r="7">
          <cell r="C7">
            <v>10110.492544693663</v>
          </cell>
          <cell r="D7">
            <v>4300.5662527728909</v>
          </cell>
          <cell r="J7">
            <v>89243.765365951549</v>
          </cell>
        </row>
        <row r="28">
          <cell r="C28">
            <v>4427.381296873783</v>
          </cell>
          <cell r="D28">
            <v>3321.2071921706115</v>
          </cell>
          <cell r="J28">
            <v>7781.4980476865958</v>
          </cell>
        </row>
        <row r="29">
          <cell r="C29">
            <v>3601.6945486048203</v>
          </cell>
          <cell r="J29">
            <v>3601.6945486048203</v>
          </cell>
        </row>
        <row r="30">
          <cell r="C30">
            <v>623.82697136810475</v>
          </cell>
          <cell r="D30">
            <v>286.76830535721029</v>
          </cell>
          <cell r="J30">
            <v>910.5952767253151</v>
          </cell>
        </row>
        <row r="32">
          <cell r="D32">
            <v>3025.6815650119352</v>
          </cell>
          <cell r="J32">
            <v>3025.6815650119352</v>
          </cell>
        </row>
        <row r="41">
          <cell r="C41" t="str">
            <v>NO</v>
          </cell>
          <cell r="D41">
            <v>1.2170623090316799</v>
          </cell>
          <cell r="J41">
            <v>328.51081732410819</v>
          </cell>
        </row>
        <row r="42">
          <cell r="C42">
            <v>15.4417562010865</v>
          </cell>
          <cell r="D42">
            <v>1.30309275538866</v>
          </cell>
          <cell r="J42">
            <v>-1471.718094026377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C7" t="str">
            <v>NO</v>
          </cell>
        </row>
        <row r="9">
          <cell r="C9" t="str">
            <v>NO</v>
          </cell>
          <cell r="D9" t="str">
            <v>NO</v>
          </cell>
        </row>
        <row r="10">
          <cell r="C10" t="str">
            <v>NO</v>
          </cell>
          <cell r="D10" t="str">
            <v>NO</v>
          </cell>
        </row>
        <row r="11">
          <cell r="B11">
            <v>10.917241432486</v>
          </cell>
        </row>
        <row r="12">
          <cell r="B12">
            <v>65.0475122</v>
          </cell>
        </row>
        <row r="13">
          <cell r="B13" t="str">
            <v>NA</v>
          </cell>
        </row>
        <row r="14">
          <cell r="B14" t="str">
            <v>NO</v>
          </cell>
          <cell r="C14" t="str">
            <v>NO</v>
          </cell>
          <cell r="D14" t="str">
            <v>NO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7">
          <cell r="C17">
            <v>2685.49</v>
          </cell>
          <cell r="E17">
            <v>3.3760445714290002E-2</v>
          </cell>
        </row>
      </sheetData>
      <sheetData sheetId="30"/>
      <sheetData sheetId="31"/>
      <sheetData sheetId="32"/>
      <sheetData sheetId="33">
        <row r="8">
          <cell r="C8">
            <v>3.3706331999999999E-2</v>
          </cell>
        </row>
        <row r="11">
          <cell r="B11">
            <v>448.9708938283872</v>
          </cell>
        </row>
        <row r="14">
          <cell r="B14">
            <v>-223.37826827422353</v>
          </cell>
        </row>
      </sheetData>
      <sheetData sheetId="34">
        <row r="17">
          <cell r="L17">
            <v>5659.4000000000196</v>
          </cell>
        </row>
      </sheetData>
      <sheetData sheetId="35">
        <row r="10">
          <cell r="C10">
            <v>2374.7898600000103</v>
          </cell>
        </row>
      </sheetData>
      <sheetData sheetId="36">
        <row r="10">
          <cell r="C10">
            <v>1532.9015518666199</v>
          </cell>
          <cell r="D10">
            <v>1530.4418244036999</v>
          </cell>
          <cell r="E10">
            <v>2.4597274629200001</v>
          </cell>
          <cell r="P10">
            <v>-56.737922671539998</v>
          </cell>
          <cell r="Q10">
            <v>-24.59727462923</v>
          </cell>
        </row>
      </sheetData>
      <sheetData sheetId="37">
        <row r="10">
          <cell r="C10">
            <v>1153.22183727427</v>
          </cell>
          <cell r="D10">
            <v>1152.99607724506</v>
          </cell>
          <cell r="E10">
            <v>0.22576002920999999</v>
          </cell>
          <cell r="P10">
            <v>62.194055498369998</v>
          </cell>
          <cell r="Q10">
            <v>-0.56440007303999995</v>
          </cell>
        </row>
      </sheetData>
      <sheetData sheetId="38">
        <row r="10">
          <cell r="C10">
            <v>75.138057868489994</v>
          </cell>
        </row>
      </sheetData>
      <sheetData sheetId="39">
        <row r="10">
          <cell r="C10">
            <v>285.188168373</v>
          </cell>
        </row>
      </sheetData>
      <sheetData sheetId="40">
        <row r="10">
          <cell r="C10">
            <v>238.16052461760819</v>
          </cell>
        </row>
      </sheetData>
      <sheetData sheetId="41"/>
      <sheetData sheetId="42">
        <row r="10">
          <cell r="H10" t="str">
            <v>NO</v>
          </cell>
        </row>
        <row r="18">
          <cell r="I18" t="str">
            <v>NO</v>
          </cell>
        </row>
        <row r="22">
          <cell r="C22" t="str">
            <v>NO</v>
          </cell>
          <cell r="G22" t="str">
            <v>NO</v>
          </cell>
          <cell r="H22" t="str">
            <v>NO</v>
          </cell>
          <cell r="I22" t="str">
            <v>NO</v>
          </cell>
        </row>
        <row r="26">
          <cell r="I26" t="str">
            <v>NO</v>
          </cell>
        </row>
        <row r="30">
          <cell r="C30" t="str">
            <v>NO</v>
          </cell>
          <cell r="G30" t="str">
            <v>NO</v>
          </cell>
          <cell r="H30" t="str">
            <v>NO</v>
          </cell>
          <cell r="I30" t="str">
            <v>NO</v>
          </cell>
        </row>
      </sheetData>
      <sheetData sheetId="43">
        <row r="10">
          <cell r="B10">
            <v>61.871641665280002</v>
          </cell>
        </row>
        <row r="15">
          <cell r="B15">
            <v>44.346140652179997</v>
          </cell>
          <cell r="D15">
            <v>7.1634909250000003E-2</v>
          </cell>
        </row>
        <row r="19">
          <cell r="B19">
            <v>59.602732070969999</v>
          </cell>
          <cell r="D19" t="str">
            <v>NO</v>
          </cell>
        </row>
      </sheetData>
      <sheetData sheetId="44">
        <row r="9">
          <cell r="E9" t="str">
            <v>IE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7">
          <cell r="B7">
            <v>12501.064061663817</v>
          </cell>
          <cell r="C7">
            <v>155.60097771793428</v>
          </cell>
          <cell r="D7">
            <v>6.0667916370727104</v>
          </cell>
        </row>
      </sheetData>
      <sheetData sheetId="54">
        <row r="8">
          <cell r="B8">
            <v>75.964753632485994</v>
          </cell>
          <cell r="C8">
            <v>55.381214857137763</v>
          </cell>
          <cell r="D8">
            <v>4.2275328649950499</v>
          </cell>
        </row>
        <row r="9">
          <cell r="C9">
            <v>39.330281999999997</v>
          </cell>
        </row>
        <row r="10">
          <cell r="C10">
            <v>16.050932857137759</v>
          </cell>
          <cell r="D10">
            <v>0.45743520872955001</v>
          </cell>
        </row>
        <row r="12">
          <cell r="C12" t="str">
            <v>NE</v>
          </cell>
          <cell r="D12">
            <v>3.7700976562655</v>
          </cell>
        </row>
        <row r="21">
          <cell r="C21">
            <v>3.2300930000000002E-4</v>
          </cell>
          <cell r="D21">
            <v>7.1655828520000006E-2</v>
          </cell>
        </row>
        <row r="22">
          <cell r="C22">
            <v>1.8021484399999999E-2</v>
          </cell>
          <cell r="D22">
            <v>1.64543988E-3</v>
          </cell>
        </row>
      </sheetData>
      <sheetData sheetId="55"/>
      <sheetData sheetId="56">
        <row r="7">
          <cell r="C7">
            <v>3890.0244429483573</v>
          </cell>
          <cell r="D7">
            <v>1807.9039078476676</v>
          </cell>
          <cell r="J7">
            <v>18698.569490533235</v>
          </cell>
        </row>
        <row r="28">
          <cell r="C28">
            <v>1384.5303714284439</v>
          </cell>
          <cell r="D28">
            <v>1259.8047937685249</v>
          </cell>
          <cell r="J28">
            <v>2720.2999188294548</v>
          </cell>
        </row>
        <row r="29">
          <cell r="C29">
            <v>983.25705000000005</v>
          </cell>
          <cell r="J29">
            <v>983.25705000000005</v>
          </cell>
        </row>
        <row r="30">
          <cell r="C30">
            <v>401.27332142844398</v>
          </cell>
          <cell r="D30">
            <v>136.31569220140591</v>
          </cell>
          <cell r="J30">
            <v>537.58901362984989</v>
          </cell>
        </row>
        <row r="32">
          <cell r="D32">
            <v>1123.489101567119</v>
          </cell>
          <cell r="J32">
            <v>1123.489101567119</v>
          </cell>
        </row>
        <row r="41">
          <cell r="C41">
            <v>8.0752324999999996E-3</v>
          </cell>
          <cell r="D41">
            <v>21.353436898959998</v>
          </cell>
          <cell r="J41">
            <v>470.33240595984716</v>
          </cell>
        </row>
        <row r="42">
          <cell r="C42">
            <v>0.45053711000000002</v>
          </cell>
          <cell r="D42">
            <v>0.49034108424</v>
          </cell>
          <cell r="J42">
            <v>-222.43739007998354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C7">
            <v>0.79165772016257996</v>
          </cell>
        </row>
        <row r="9">
          <cell r="C9" t="str">
            <v>NO</v>
          </cell>
          <cell r="D9" t="str">
            <v>NO</v>
          </cell>
        </row>
        <row r="10">
          <cell r="C10">
            <v>1.142946229032E-2</v>
          </cell>
          <cell r="D10">
            <v>2.9631939271000001E-4</v>
          </cell>
        </row>
        <row r="11">
          <cell r="B11">
            <v>9.6201893009493293</v>
          </cell>
        </row>
        <row r="12">
          <cell r="B12">
            <v>113.18897869760308</v>
          </cell>
        </row>
        <row r="13">
          <cell r="B13">
            <v>91.444383951664051</v>
          </cell>
        </row>
        <row r="14">
          <cell r="B14" t="str">
            <v>NO</v>
          </cell>
          <cell r="C14" t="str">
            <v>NO</v>
          </cell>
          <cell r="D14" t="str">
            <v>NO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7">
          <cell r="C17" t="str">
            <v>NO</v>
          </cell>
          <cell r="E17" t="str">
            <v>NO</v>
          </cell>
        </row>
      </sheetData>
      <sheetData sheetId="30"/>
      <sheetData sheetId="31"/>
      <sheetData sheetId="32"/>
      <sheetData sheetId="33">
        <row r="8">
          <cell r="C8">
            <v>0.35151014286750998</v>
          </cell>
        </row>
        <row r="11">
          <cell r="B11">
            <v>-221.96150828401616</v>
          </cell>
        </row>
        <row r="14">
          <cell r="B14">
            <v>23.898663575287731</v>
          </cell>
        </row>
      </sheetData>
      <sheetData sheetId="34">
        <row r="17">
          <cell r="L17">
            <v>9303.265981090919</v>
          </cell>
        </row>
      </sheetData>
      <sheetData sheetId="35">
        <row r="10">
          <cell r="C10">
            <v>2055.2366799999968</v>
          </cell>
        </row>
      </sheetData>
      <sheetData sheetId="36">
        <row r="10">
          <cell r="C10">
            <v>5201.6319755031982</v>
          </cell>
          <cell r="D10">
            <v>5201.6319755031982</v>
          </cell>
          <cell r="E10" t="str">
            <v>NO</v>
          </cell>
          <cell r="P10">
            <v>79.212085810852116</v>
          </cell>
          <cell r="Q10" t="str">
            <v>NO</v>
          </cell>
        </row>
      </sheetData>
      <sheetData sheetId="37">
        <row r="10">
          <cell r="C10">
            <v>1196.9301705161422</v>
          </cell>
          <cell r="D10">
            <v>1196.9301705161422</v>
          </cell>
          <cell r="E10" t="str">
            <v>NO</v>
          </cell>
          <cell r="P10">
            <v>54.356882009114962</v>
          </cell>
          <cell r="Q10" t="str">
            <v>NO</v>
          </cell>
        </row>
      </sheetData>
      <sheetData sheetId="38">
        <row r="10">
          <cell r="C10">
            <v>263.56353036564963</v>
          </cell>
        </row>
      </sheetData>
      <sheetData sheetId="39">
        <row r="10">
          <cell r="C10">
            <v>584.3039947694657</v>
          </cell>
        </row>
      </sheetData>
      <sheetData sheetId="40">
        <row r="10">
          <cell r="C10">
            <v>2.4506678364560002</v>
          </cell>
        </row>
      </sheetData>
      <sheetData sheetId="41"/>
      <sheetData sheetId="42">
        <row r="10">
          <cell r="H10" t="str">
            <v>NO</v>
          </cell>
        </row>
        <row r="18">
          <cell r="I18" t="str">
            <v>NO</v>
          </cell>
        </row>
        <row r="22">
          <cell r="C22" t="str">
            <v>NO</v>
          </cell>
          <cell r="G22" t="str">
            <v>NO</v>
          </cell>
          <cell r="H22" t="str">
            <v>NO</v>
          </cell>
          <cell r="I22" t="str">
            <v>NO</v>
          </cell>
        </row>
        <row r="26">
          <cell r="I26" t="str">
            <v>NO</v>
          </cell>
        </row>
        <row r="30">
          <cell r="C30" t="str">
            <v>NO</v>
          </cell>
          <cell r="G30" t="str">
            <v>NO</v>
          </cell>
          <cell r="H30" t="str">
            <v>NO</v>
          </cell>
          <cell r="I30" t="str">
            <v>NO</v>
          </cell>
        </row>
      </sheetData>
      <sheetData sheetId="43">
        <row r="10">
          <cell r="B10">
            <v>124.22632550336965</v>
          </cell>
        </row>
        <row r="13">
          <cell r="B13">
            <v>88.798827600120973</v>
          </cell>
          <cell r="D13">
            <v>6.8800431173869997E-2</v>
          </cell>
        </row>
        <row r="15">
          <cell r="B15">
            <v>1196.9301705161422</v>
          </cell>
          <cell r="D15" t="str">
            <v>NO</v>
          </cell>
        </row>
      </sheetData>
      <sheetData sheetId="44">
        <row r="9">
          <cell r="E9">
            <v>1.5176085115700001E-2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7">
          <cell r="B7">
            <v>44917.185582985527</v>
          </cell>
          <cell r="C7">
            <v>291.26274464636754</v>
          </cell>
          <cell r="D7">
            <v>16.444618014697259</v>
          </cell>
        </row>
      </sheetData>
      <sheetData sheetId="54">
        <row r="8">
          <cell r="B8">
            <v>214.25355195021646</v>
          </cell>
          <cell r="C8">
            <v>108.98703806849832</v>
          </cell>
          <cell r="D8">
            <v>14.11647121640237</v>
          </cell>
        </row>
        <row r="9">
          <cell r="C9">
            <v>82.029098030238885</v>
          </cell>
        </row>
        <row r="10">
          <cell r="C10">
            <v>26.154852855806539</v>
          </cell>
          <cell r="D10">
            <v>1.5309453642706701</v>
          </cell>
        </row>
        <row r="12">
          <cell r="C12" t="str">
            <v>NA</v>
          </cell>
          <cell r="D12">
            <v>12.585229532738991</v>
          </cell>
        </row>
        <row r="21">
          <cell r="C21">
            <v>1.6033680000000002E-2</v>
          </cell>
          <cell r="D21">
            <v>6.9216119173869994E-2</v>
          </cell>
        </row>
        <row r="22">
          <cell r="C22">
            <v>1.527676876186E-2</v>
          </cell>
          <cell r="D22">
            <v>1.3948354086899999E-3</v>
          </cell>
        </row>
      </sheetData>
      <sheetData sheetId="55"/>
      <sheetData sheetId="56">
        <row r="7">
          <cell r="C7">
            <v>7281.5686161591893</v>
          </cell>
          <cell r="D7">
            <v>4900.4961683797837</v>
          </cell>
          <cell r="J7">
            <v>58559.625189259496</v>
          </cell>
        </row>
        <row r="28">
          <cell r="C28">
            <v>2724.6759517124578</v>
          </cell>
          <cell r="D28">
            <v>4206.7084224879063</v>
          </cell>
          <cell r="J28">
            <v>7145.6379261505808</v>
          </cell>
        </row>
        <row r="29">
          <cell r="C29">
            <v>2050.7274507559719</v>
          </cell>
          <cell r="J29">
            <v>2050.7274507559719</v>
          </cell>
        </row>
        <row r="30">
          <cell r="C30">
            <v>653.87132139516348</v>
          </cell>
          <cell r="D30">
            <v>456.22171855265964</v>
          </cell>
          <cell r="J30">
            <v>1110.0930399478232</v>
          </cell>
        </row>
        <row r="32">
          <cell r="D32">
            <v>3750.398400756219</v>
          </cell>
          <cell r="J32">
            <v>3750.398400756219</v>
          </cell>
        </row>
        <row r="41">
          <cell r="C41">
            <v>0.40084199999999998</v>
          </cell>
          <cell r="D41">
            <v>20.626403513813258</v>
          </cell>
          <cell r="J41">
            <v>-200.93426277020288</v>
          </cell>
        </row>
        <row r="42">
          <cell r="C42">
            <v>0.3819192190465</v>
          </cell>
          <cell r="D42">
            <v>0.41566095178961998</v>
          </cell>
          <cell r="J42">
            <v>24.696243746123852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C7" t="str">
            <v>NO</v>
          </cell>
        </row>
        <row r="9">
          <cell r="C9" t="str">
            <v>NO</v>
          </cell>
          <cell r="D9" t="str">
            <v>NO</v>
          </cell>
        </row>
        <row r="10">
          <cell r="C10" t="str">
            <v>NO</v>
          </cell>
          <cell r="D10" t="str">
            <v>NO</v>
          </cell>
        </row>
        <row r="11">
          <cell r="B11">
            <v>457.45171999999997</v>
          </cell>
        </row>
        <row r="12">
          <cell r="B12">
            <v>88.762666666666675</v>
          </cell>
        </row>
        <row r="13">
          <cell r="B13" t="str">
            <v>NO</v>
          </cell>
        </row>
        <row r="14">
          <cell r="B14" t="str">
            <v>NO</v>
          </cell>
          <cell r="C14" t="str">
            <v>NO</v>
          </cell>
          <cell r="D14" t="str">
            <v>NO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7">
          <cell r="C17">
            <v>332556.53947209433</v>
          </cell>
          <cell r="E17">
            <v>2.2471320452900101</v>
          </cell>
        </row>
      </sheetData>
      <sheetData sheetId="30"/>
      <sheetData sheetId="31"/>
      <sheetData sheetId="32"/>
      <sheetData sheetId="33">
        <row r="8">
          <cell r="C8">
            <v>3.2676088940077199</v>
          </cell>
        </row>
        <row r="11">
          <cell r="B11">
            <v>-160.48656892612871</v>
          </cell>
        </row>
        <row r="14">
          <cell r="B14">
            <v>6630.5420365918262</v>
          </cell>
        </row>
      </sheetData>
      <sheetData sheetId="34">
        <row r="17">
          <cell r="L17">
            <v>7111.7853599999999</v>
          </cell>
        </row>
      </sheetData>
      <sheetData sheetId="35">
        <row r="10">
          <cell r="C10">
            <v>773.22879999999998</v>
          </cell>
        </row>
      </sheetData>
      <sheetData sheetId="36">
        <row r="10">
          <cell r="C10">
            <v>780.38017439688019</v>
          </cell>
          <cell r="D10">
            <v>780.38017439688019</v>
          </cell>
          <cell r="E10" t="str">
            <v>NO</v>
          </cell>
          <cell r="P10">
            <v>28.646134062300501</v>
          </cell>
          <cell r="Q10" t="str">
            <v>NO</v>
          </cell>
        </row>
      </sheetData>
      <sheetData sheetId="37">
        <row r="10">
          <cell r="C10">
            <v>4155.807648914174</v>
          </cell>
          <cell r="D10">
            <v>3822.8750994420802</v>
          </cell>
          <cell r="E10">
            <v>332.93254947209437</v>
          </cell>
          <cell r="P10">
            <v>565.03378631244232</v>
          </cell>
          <cell r="Q10">
            <v>-2263.860369157303</v>
          </cell>
        </row>
      </sheetData>
      <sheetData sheetId="38">
        <row r="10">
          <cell r="C10">
            <v>1225.7993768237955</v>
          </cell>
        </row>
      </sheetData>
      <sheetData sheetId="39">
        <row r="10">
          <cell r="C10">
            <v>124.81938372528992</v>
          </cell>
        </row>
      </sheetData>
      <sheetData sheetId="40">
        <row r="10">
          <cell r="C10">
            <v>51.749976109064058</v>
          </cell>
        </row>
      </sheetData>
      <sheetData sheetId="41"/>
      <sheetData sheetId="42">
        <row r="10">
          <cell r="H10">
            <v>0.60505483460894005</v>
          </cell>
        </row>
        <row r="18">
          <cell r="I18" t="str">
            <v>NO</v>
          </cell>
        </row>
        <row r="22">
          <cell r="C22" t="str">
            <v>NO</v>
          </cell>
          <cell r="G22" t="str">
            <v>NO</v>
          </cell>
          <cell r="H22" t="str">
            <v>NO</v>
          </cell>
          <cell r="I22" t="str">
            <v>NO</v>
          </cell>
        </row>
        <row r="26">
          <cell r="I26">
            <v>9.8842322439622095</v>
          </cell>
        </row>
        <row r="32">
          <cell r="C32" t="str">
            <v>NO</v>
          </cell>
          <cell r="G32" t="str">
            <v>NO</v>
          </cell>
          <cell r="H32" t="str">
            <v>NO</v>
          </cell>
          <cell r="I32" t="str">
            <v>NO</v>
          </cell>
        </row>
      </sheetData>
      <sheetData sheetId="43">
        <row r="10">
          <cell r="B10">
            <v>329.42605936359786</v>
          </cell>
        </row>
        <row r="13">
          <cell r="B13" t="str">
            <v>NO</v>
          </cell>
          <cell r="D13" t="str">
            <v>NO</v>
          </cell>
        </row>
        <row r="15">
          <cell r="B15">
            <v>5.1242999999999999</v>
          </cell>
          <cell r="D15">
            <v>0.26375018280000001</v>
          </cell>
        </row>
      </sheetData>
      <sheetData sheetId="44">
        <row r="9">
          <cell r="E9" t="str">
            <v>IE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7">
          <cell r="B7">
            <v>42236.655196004896</v>
          </cell>
          <cell r="C7">
            <v>577.79435254181794</v>
          </cell>
          <cell r="D7">
            <v>24.692120611360021</v>
          </cell>
        </row>
      </sheetData>
      <sheetData sheetId="54">
        <row r="8">
          <cell r="B8">
            <v>546.21438666666666</v>
          </cell>
          <cell r="C8">
            <v>518.80354110978419</v>
          </cell>
          <cell r="D8">
            <v>21.599889415669431</v>
          </cell>
        </row>
        <row r="9">
          <cell r="C9">
            <v>461.72828328791047</v>
          </cell>
        </row>
        <row r="10">
          <cell r="C10">
            <v>57.075257821873649</v>
          </cell>
          <cell r="D10">
            <v>1.8216502075598999</v>
          </cell>
        </row>
        <row r="12">
          <cell r="C12" t="str">
            <v>NE</v>
          </cell>
          <cell r="D12">
            <v>19.778239208109529</v>
          </cell>
        </row>
        <row r="21">
          <cell r="C21">
            <v>8.0999999999999996E-4</v>
          </cell>
          <cell r="D21">
            <v>2.0999999999999999E-5</v>
          </cell>
        </row>
        <row r="22">
          <cell r="C22">
            <v>10.253183430470131</v>
          </cell>
          <cell r="D22">
            <v>0.27330286549295002</v>
          </cell>
        </row>
      </sheetData>
      <sheetData sheetId="55"/>
      <sheetData sheetId="56">
        <row r="7">
          <cell r="C7">
            <v>14444.858813545448</v>
          </cell>
          <cell r="D7">
            <v>7358.2519421852858</v>
          </cell>
          <cell r="J7">
            <v>65232.228571356602</v>
          </cell>
        </row>
        <row r="28">
          <cell r="C28">
            <v>12970.088527744603</v>
          </cell>
          <cell r="D28">
            <v>6436.7670458694902</v>
          </cell>
          <cell r="J28">
            <v>19953.069960280762</v>
          </cell>
        </row>
        <row r="29">
          <cell r="C29">
            <v>11543.207082197763</v>
          </cell>
          <cell r="J29">
            <v>11543.207082197763</v>
          </cell>
        </row>
        <row r="30">
          <cell r="C30">
            <v>1426.8814455468412</v>
          </cell>
          <cell r="D30">
            <v>542.85176185285025</v>
          </cell>
          <cell r="J30">
            <v>1969.7332073996915</v>
          </cell>
        </row>
        <row r="32">
          <cell r="D32">
            <v>5893.9152840166398</v>
          </cell>
          <cell r="J32">
            <v>5893.9152840166398</v>
          </cell>
        </row>
        <row r="41">
          <cell r="C41">
            <v>2.0250000000000001E-2</v>
          </cell>
          <cell r="D41">
            <v>6.2579999999999997E-3</v>
          </cell>
          <cell r="J41">
            <v>-160.46006092612873</v>
          </cell>
        </row>
        <row r="42">
          <cell r="C42">
            <v>256.32958576175326</v>
          </cell>
          <cell r="D42">
            <v>81.4442539168991</v>
          </cell>
          <cell r="J42">
            <v>6968.3158762704788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6">
          <cell r="G26">
            <v>389.64317422584799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7">
          <cell r="C7" t="str">
            <v>NO</v>
          </cell>
        </row>
        <row r="9">
          <cell r="C9" t="str">
            <v>NO</v>
          </cell>
          <cell r="D9" t="str">
            <v>NO</v>
          </cell>
        </row>
        <row r="10">
          <cell r="C10" t="str">
            <v>NO</v>
          </cell>
          <cell r="D10" t="str">
            <v>NO</v>
          </cell>
        </row>
        <row r="11">
          <cell r="B11">
            <v>137.760216533711</v>
          </cell>
        </row>
        <row r="12">
          <cell r="B12">
            <v>52.709077389260898</v>
          </cell>
        </row>
        <row r="13">
          <cell r="B13" t="str">
            <v>NO</v>
          </cell>
        </row>
        <row r="14">
          <cell r="B14" t="str">
            <v>NO</v>
          </cell>
          <cell r="C14" t="str">
            <v>NO</v>
          </cell>
          <cell r="D14" t="str">
            <v>NO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7">
          <cell r="C17">
            <v>2520</v>
          </cell>
          <cell r="E17">
            <v>3.168E-2</v>
          </cell>
        </row>
      </sheetData>
      <sheetData sheetId="30" refreshError="1"/>
      <sheetData sheetId="31" refreshError="1"/>
      <sheetData sheetId="32" refreshError="1"/>
      <sheetData sheetId="33">
        <row r="8">
          <cell r="C8" t="str">
            <v>NO</v>
          </cell>
        </row>
        <row r="11">
          <cell r="B11">
            <v>779.51012574759784</v>
          </cell>
        </row>
        <row r="14">
          <cell r="B14">
            <v>-817.34627004024946</v>
          </cell>
        </row>
      </sheetData>
      <sheetData sheetId="34">
        <row r="17">
          <cell r="L17">
            <v>3052.7919999999972</v>
          </cell>
        </row>
      </sheetData>
      <sheetData sheetId="35">
        <row r="10">
          <cell r="C10">
            <v>705.89132884132005</v>
          </cell>
        </row>
      </sheetData>
      <sheetData sheetId="36">
        <row r="10">
          <cell r="C10">
            <v>960.45726104450762</v>
          </cell>
          <cell r="D10">
            <v>958.55826104450762</v>
          </cell>
          <cell r="E10">
            <v>1.899</v>
          </cell>
          <cell r="P10">
            <v>-193.46271702950472</v>
          </cell>
          <cell r="Q10">
            <v>-18.989999999999998</v>
          </cell>
        </row>
      </sheetData>
      <sheetData sheetId="37">
        <row r="10">
          <cell r="C10">
            <v>651.84919245609069</v>
          </cell>
          <cell r="D10">
            <v>651.02819245609078</v>
          </cell>
          <cell r="E10">
            <v>0.82099999999999995</v>
          </cell>
          <cell r="P10">
            <v>254.1593426417958</v>
          </cell>
          <cell r="Q10">
            <v>-1.5525</v>
          </cell>
        </row>
      </sheetData>
      <sheetData sheetId="38">
        <row r="10">
          <cell r="C10">
            <v>53.632238530807228</v>
          </cell>
        </row>
      </sheetData>
      <sheetData sheetId="39">
        <row r="10">
          <cell r="C10">
            <v>680.96197912727473</v>
          </cell>
        </row>
      </sheetData>
      <sheetData sheetId="40">
        <row r="10">
          <cell r="C10" t="str">
            <v>NO</v>
          </cell>
        </row>
      </sheetData>
      <sheetData sheetId="41" refreshError="1"/>
      <sheetData sheetId="42">
        <row r="10">
          <cell r="H10" t="str">
            <v>NO</v>
          </cell>
        </row>
        <row r="18">
          <cell r="I18" t="str">
            <v>NO</v>
          </cell>
        </row>
        <row r="22">
          <cell r="C22" t="str">
            <v>NO</v>
          </cell>
          <cell r="G22" t="str">
            <v>NO</v>
          </cell>
          <cell r="H22" t="str">
            <v>NO</v>
          </cell>
          <cell r="I22" t="str">
            <v>NO</v>
          </cell>
        </row>
        <row r="26">
          <cell r="I26" t="str">
            <v>NO</v>
          </cell>
        </row>
        <row r="30">
          <cell r="C30" t="str">
            <v>NO</v>
          </cell>
          <cell r="G30" t="str">
            <v>NO</v>
          </cell>
          <cell r="H30" t="str">
            <v>NO</v>
          </cell>
          <cell r="I30" t="str">
            <v>NO</v>
          </cell>
        </row>
      </sheetData>
      <sheetData sheetId="43">
        <row r="10">
          <cell r="B10">
            <v>703.88896109138045</v>
          </cell>
        </row>
        <row r="18">
          <cell r="B18">
            <v>107.82740084154543</v>
          </cell>
          <cell r="D18">
            <v>0.20606742671938</v>
          </cell>
        </row>
        <row r="25">
          <cell r="B25">
            <v>651.57395697279173</v>
          </cell>
          <cell r="D25">
            <v>1.204557333546E-2</v>
          </cell>
        </row>
      </sheetData>
      <sheetData sheetId="44">
        <row r="9">
          <cell r="E9" t="str">
            <v>IE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7">
          <cell r="B7">
            <v>99092.237477063885</v>
          </cell>
          <cell r="C7">
            <v>313.94941075809868</v>
          </cell>
          <cell r="D7">
            <v>19.47404066101593</v>
          </cell>
        </row>
      </sheetData>
      <sheetData sheetId="54">
        <row r="8">
          <cell r="B8">
            <v>190.4692939229719</v>
          </cell>
          <cell r="C8">
            <v>232.49302678851853</v>
          </cell>
          <cell r="D8">
            <v>13.282155808434201</v>
          </cell>
        </row>
        <row r="9">
          <cell r="C9">
            <v>182.33495906576113</v>
          </cell>
        </row>
        <row r="10">
          <cell r="C10">
            <v>50.158067722757401</v>
          </cell>
          <cell r="D10">
            <v>2.2696185859577098</v>
          </cell>
        </row>
        <row r="12">
          <cell r="C12" t="str">
            <v>NA</v>
          </cell>
          <cell r="D12">
            <v>11.012537222476491</v>
          </cell>
        </row>
        <row r="21">
          <cell r="C21" t="str">
            <v>NO</v>
          </cell>
          <cell r="D21">
            <v>0.20606742671938</v>
          </cell>
        </row>
        <row r="22">
          <cell r="C22" t="str">
            <v>NO</v>
          </cell>
          <cell r="D22">
            <v>1.204557333546E-2</v>
          </cell>
        </row>
      </sheetData>
      <sheetData sheetId="55" refreshError="1"/>
      <sheetData sheetId="56">
        <row r="7">
          <cell r="C7">
            <v>7848.7352689524669</v>
          </cell>
          <cell r="D7">
            <v>5803.2641169827475</v>
          </cell>
          <cell r="J7">
            <v>117441.11672250947</v>
          </cell>
        </row>
        <row r="28">
          <cell r="C28">
            <v>5812.3256697129636</v>
          </cell>
          <cell r="D28">
            <v>3958.0824309133918</v>
          </cell>
          <cell r="J28">
            <v>9960.8773945493267</v>
          </cell>
        </row>
        <row r="29">
          <cell r="C29">
            <v>4558.3739766440285</v>
          </cell>
          <cell r="J29">
            <v>4558.3739766440285</v>
          </cell>
        </row>
        <row r="30">
          <cell r="C30">
            <v>1253.9516930689349</v>
          </cell>
          <cell r="D30">
            <v>676.3463386153976</v>
          </cell>
          <cell r="J30">
            <v>1930.2980316843325</v>
          </cell>
        </row>
        <row r="32">
          <cell r="D32">
            <v>3281.7360922979942</v>
          </cell>
          <cell r="J32">
            <v>3281.7360922979942</v>
          </cell>
        </row>
        <row r="41">
          <cell r="C41" t="str">
            <v>NO</v>
          </cell>
          <cell r="D41">
            <v>61.408093162375238</v>
          </cell>
          <cell r="J41">
            <v>840.91821890997312</v>
          </cell>
        </row>
        <row r="42">
          <cell r="C42" t="str">
            <v>NO</v>
          </cell>
          <cell r="D42">
            <v>3.5895808539670799</v>
          </cell>
          <cell r="J42">
            <v>-813.75668918628241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C7">
            <v>62.121722220615702</v>
          </cell>
        </row>
        <row r="9">
          <cell r="C9" t="str">
            <v>NO</v>
          </cell>
          <cell r="D9" t="str">
            <v>NO</v>
          </cell>
        </row>
        <row r="10">
          <cell r="C10">
            <v>0.59733626212462998</v>
          </cell>
          <cell r="D10">
            <v>1.2788403284050001E-2</v>
          </cell>
        </row>
        <row r="11">
          <cell r="B11">
            <v>15.4529815</v>
          </cell>
        </row>
        <row r="12">
          <cell r="B12">
            <v>405.25540000000001</v>
          </cell>
        </row>
        <row r="13">
          <cell r="B13" t="str">
            <v>NO</v>
          </cell>
        </row>
        <row r="14">
          <cell r="B14" t="str">
            <v>NO</v>
          </cell>
          <cell r="C14" t="str">
            <v>NO</v>
          </cell>
          <cell r="D14" t="str">
            <v>NO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7">
          <cell r="C17">
            <v>23247.335299999999</v>
          </cell>
          <cell r="E17">
            <v>0.2922522152</v>
          </cell>
        </row>
      </sheetData>
      <sheetData sheetId="30"/>
      <sheetData sheetId="31"/>
      <sheetData sheetId="32"/>
      <sheetData sheetId="33">
        <row r="8">
          <cell r="C8">
            <v>3.1572082861944102</v>
          </cell>
        </row>
        <row r="11">
          <cell r="B11">
            <v>-95.727703703306247</v>
          </cell>
        </row>
        <row r="14">
          <cell r="B14">
            <v>-8395.7602984398945</v>
          </cell>
        </row>
      </sheetData>
      <sheetData sheetId="34">
        <row r="17">
          <cell r="L17">
            <v>30133.600999999999</v>
          </cell>
        </row>
      </sheetData>
      <sheetData sheetId="35">
        <row r="10">
          <cell r="C10">
            <v>9469.2559420348025</v>
          </cell>
        </row>
      </sheetData>
      <sheetData sheetId="36">
        <row r="10">
          <cell r="C10">
            <v>8957.6141399999997</v>
          </cell>
          <cell r="D10">
            <v>8936.4400987000008</v>
          </cell>
          <cell r="E10">
            <v>21.174041299999999</v>
          </cell>
          <cell r="P10">
            <v>601.78827906262723</v>
          </cell>
          <cell r="Q10">
            <v>-211.74041299999999</v>
          </cell>
        </row>
      </sheetData>
      <sheetData sheetId="37">
        <row r="10">
          <cell r="C10">
            <v>8177.8037932646957</v>
          </cell>
          <cell r="D10">
            <v>8175.7304992646959</v>
          </cell>
          <cell r="E10">
            <v>2.0732940000000002</v>
          </cell>
          <cell r="P10">
            <v>1870.7161735079378</v>
          </cell>
          <cell r="Q10">
            <v>-5.1832349999999998</v>
          </cell>
        </row>
      </sheetData>
      <sheetData sheetId="38">
        <row r="10">
          <cell r="C10">
            <v>586.25258608578929</v>
          </cell>
        </row>
      </sheetData>
      <sheetData sheetId="39">
        <row r="10">
          <cell r="C10">
            <v>2287.6341356147072</v>
          </cell>
        </row>
      </sheetData>
      <sheetData sheetId="40">
        <row r="10">
          <cell r="C10">
            <v>655.04040300000008</v>
          </cell>
        </row>
      </sheetData>
      <sheetData sheetId="41"/>
      <sheetData sheetId="42">
        <row r="10">
          <cell r="H10" t="str">
            <v>NO</v>
          </cell>
        </row>
        <row r="18">
          <cell r="I18" t="str">
            <v>NO</v>
          </cell>
        </row>
        <row r="22">
          <cell r="C22" t="str">
            <v>NO</v>
          </cell>
          <cell r="G22" t="str">
            <v>NO</v>
          </cell>
          <cell r="H22" t="str">
            <v>NO</v>
          </cell>
          <cell r="I22" t="str">
            <v>NO</v>
          </cell>
        </row>
        <row r="26">
          <cell r="I26" t="str">
            <v>NO</v>
          </cell>
        </row>
        <row r="30">
          <cell r="C30" t="str">
            <v>NO</v>
          </cell>
          <cell r="G30" t="str">
            <v>NO</v>
          </cell>
          <cell r="H30" t="str">
            <v>NO</v>
          </cell>
          <cell r="I30" t="str">
            <v>NO</v>
          </cell>
        </row>
      </sheetData>
      <sheetData sheetId="43">
        <row r="10">
          <cell r="B10" t="str">
            <v>NO</v>
          </cell>
        </row>
        <row r="13">
          <cell r="B13">
            <v>112.11570000000029</v>
          </cell>
          <cell r="D13">
            <v>0.20860436379804001</v>
          </cell>
        </row>
        <row r="15">
          <cell r="B15" t="str">
            <v>NO</v>
          </cell>
          <cell r="D15" t="str">
            <v>NO</v>
          </cell>
        </row>
      </sheetData>
      <sheetData sheetId="44">
        <row r="9">
          <cell r="E9">
            <v>4.6935981854560001E-2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7">
          <cell r="B7">
            <v>311175.6243917399</v>
          </cell>
          <cell r="C7">
            <v>1728.1264557594689</v>
          </cell>
          <cell r="D7">
            <v>60.96594557924228</v>
          </cell>
        </row>
      </sheetData>
      <sheetData sheetId="54">
        <row r="8">
          <cell r="B8">
            <v>420.70838150000003</v>
          </cell>
          <cell r="C8">
            <v>770.01293585603457</v>
          </cell>
          <cell r="D8">
            <v>35.287087081669277</v>
          </cell>
        </row>
        <row r="9">
          <cell r="C9">
            <v>568.09031133770804</v>
          </cell>
        </row>
        <row r="10">
          <cell r="C10">
            <v>139.20356603558625</v>
          </cell>
          <cell r="D10">
            <v>7.3486656141648004</v>
          </cell>
        </row>
        <row r="12">
          <cell r="C12" t="str">
            <v>NE</v>
          </cell>
          <cell r="D12">
            <v>27.925633064220431</v>
          </cell>
        </row>
        <row r="21">
          <cell r="C21">
            <v>4.3987247171999998E-2</v>
          </cell>
          <cell r="D21">
            <v>0.20998682013773001</v>
          </cell>
        </row>
        <row r="22">
          <cell r="C22">
            <v>3.6194074589870899</v>
          </cell>
          <cell r="D22">
            <v>0.11375280585388001</v>
          </cell>
        </row>
      </sheetData>
      <sheetData sheetId="55"/>
      <sheetData sheetId="56">
        <row r="7">
          <cell r="C7">
            <v>43203.161393986724</v>
          </cell>
          <cell r="D7">
            <v>18167.851782614198</v>
          </cell>
          <cell r="J7">
            <v>391263.13047851663</v>
          </cell>
        </row>
        <row r="28">
          <cell r="C28">
            <v>19250.323396400865</v>
          </cell>
          <cell r="D28">
            <v>10515.551950337445</v>
          </cell>
          <cell r="J28">
            <v>30186.583728238311</v>
          </cell>
        </row>
        <row r="29">
          <cell r="C29">
            <v>14202.257783442701</v>
          </cell>
          <cell r="J29">
            <v>14202.257783442701</v>
          </cell>
        </row>
        <row r="30">
          <cell r="C30">
            <v>3480.0891508896566</v>
          </cell>
          <cell r="D30">
            <v>2189.9023530211102</v>
          </cell>
          <cell r="J30">
            <v>5669.9915039107673</v>
          </cell>
        </row>
        <row r="32">
          <cell r="D32">
            <v>8321.8386531376873</v>
          </cell>
          <cell r="J32">
            <v>8321.8386531376873</v>
          </cell>
        </row>
        <row r="41">
          <cell r="C41">
            <v>1.0996811793000001</v>
          </cell>
          <cell r="D41">
            <v>62.57607240104354</v>
          </cell>
          <cell r="J41">
            <v>-32.051950122962701</v>
          </cell>
        </row>
        <row r="42">
          <cell r="C42">
            <v>90.485186474677249</v>
          </cell>
          <cell r="D42">
            <v>33.898336144456238</v>
          </cell>
          <cell r="J42">
            <v>-8271.3767758207614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C7" t="str">
            <v>NO</v>
          </cell>
        </row>
        <row r="9">
          <cell r="C9" t="str">
            <v>NO</v>
          </cell>
          <cell r="D9" t="str">
            <v>NO</v>
          </cell>
        </row>
        <row r="10">
          <cell r="C10" t="str">
            <v>NO</v>
          </cell>
          <cell r="D10" t="str">
            <v>NO</v>
          </cell>
        </row>
        <row r="11">
          <cell r="B11">
            <v>11.45126713935189</v>
          </cell>
        </row>
        <row r="12">
          <cell r="B12">
            <v>14.37158337203349</v>
          </cell>
        </row>
        <row r="13">
          <cell r="B13" t="str">
            <v>NO</v>
          </cell>
        </row>
        <row r="14">
          <cell r="B14" t="str">
            <v>NO</v>
          </cell>
          <cell r="C14" t="str">
            <v>NO</v>
          </cell>
          <cell r="D14" t="str">
            <v>NO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7">
          <cell r="C17">
            <v>132599.96574025566</v>
          </cell>
          <cell r="E17">
            <v>1.6669709978775</v>
          </cell>
        </row>
      </sheetData>
      <sheetData sheetId="30"/>
      <sheetData sheetId="31"/>
      <sheetData sheetId="32"/>
      <sheetData sheetId="33">
        <row r="8">
          <cell r="C8">
            <v>7.0272574693199998E-3</v>
          </cell>
        </row>
        <row r="11">
          <cell r="B11">
            <v>1024.2362580686718</v>
          </cell>
        </row>
        <row r="14">
          <cell r="B14">
            <v>-968.86455010209193</v>
          </cell>
        </row>
      </sheetData>
      <sheetData sheetId="34">
        <row r="17">
          <cell r="L17">
            <v>6528.6480000000001</v>
          </cell>
        </row>
      </sheetData>
      <sheetData sheetId="35">
        <row r="10">
          <cell r="C10">
            <v>2211.49026149064</v>
          </cell>
        </row>
      </sheetData>
      <sheetData sheetId="36">
        <row r="10">
          <cell r="C10">
            <v>2040.1776356005198</v>
          </cell>
          <cell r="D10">
            <v>1976.1813882519773</v>
          </cell>
          <cell r="P10">
            <v>114.31220974157374</v>
          </cell>
          <cell r="Q10" t="str">
            <v>NO,IE</v>
          </cell>
        </row>
      </sheetData>
      <sheetData sheetId="37">
        <row r="10">
          <cell r="C10">
            <v>1523.8437771484798</v>
          </cell>
          <cell r="D10">
            <v>1455.2400587567668</v>
          </cell>
          <cell r="P10">
            <v>210.95124111458571</v>
          </cell>
          <cell r="Q10">
            <v>-2.0665334E-2</v>
          </cell>
        </row>
      </sheetData>
      <sheetData sheetId="38">
        <row r="10">
          <cell r="C10">
            <v>364.18907881535995</v>
          </cell>
        </row>
      </sheetData>
      <sheetData sheetId="39">
        <row r="10">
          <cell r="C10">
            <v>381.36027441739998</v>
          </cell>
        </row>
      </sheetData>
      <sheetData sheetId="40">
        <row r="10">
          <cell r="C10">
            <v>7.5872724753199998</v>
          </cell>
        </row>
      </sheetData>
      <sheetData sheetId="41"/>
      <sheetData sheetId="42">
        <row r="10">
          <cell r="H10">
            <v>0.10564604906321</v>
          </cell>
        </row>
        <row r="24">
          <cell r="I24" t="str">
            <v>NO,NE</v>
          </cell>
        </row>
        <row r="32">
          <cell r="C32" t="str">
            <v>NO</v>
          </cell>
          <cell r="G32" t="str">
            <v>NO</v>
          </cell>
          <cell r="H32" t="str">
            <v>NO</v>
          </cell>
          <cell r="I32" t="str">
            <v>NO</v>
          </cell>
        </row>
        <row r="36">
          <cell r="I36" t="str">
            <v>NO,NE</v>
          </cell>
        </row>
        <row r="44">
          <cell r="C44" t="str">
            <v>NO</v>
          </cell>
          <cell r="G44" t="str">
            <v>NO</v>
          </cell>
          <cell r="H44" t="str">
            <v>NO</v>
          </cell>
          <cell r="I44" t="str">
            <v>NO</v>
          </cell>
        </row>
      </sheetData>
      <sheetData sheetId="43">
        <row r="10">
          <cell r="B10" t="str">
            <v>NO</v>
          </cell>
        </row>
        <row r="18">
          <cell r="B18">
            <v>705.66745446143568</v>
          </cell>
          <cell r="D18">
            <v>0.18112131331177</v>
          </cell>
        </row>
        <row r="21">
          <cell r="B21">
            <v>1.19799039084</v>
          </cell>
          <cell r="D21">
            <v>5.0605796857E-4</v>
          </cell>
        </row>
      </sheetData>
      <sheetData sheetId="44">
        <row r="9">
          <cell r="E9">
            <v>7.4932931035410003E-2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7">
          <cell r="B7">
            <v>9630.9556171815875</v>
          </cell>
          <cell r="C7">
            <v>122.59770265092956</v>
          </cell>
          <cell r="D7">
            <v>10.4917931191746</v>
          </cell>
        </row>
      </sheetData>
      <sheetData sheetId="54">
        <row r="8">
          <cell r="B8">
            <v>25.822850511385379</v>
          </cell>
          <cell r="C8">
            <v>69.473390250605021</v>
          </cell>
          <cell r="D8">
            <v>8.4496807248999399</v>
          </cell>
        </row>
        <row r="9">
          <cell r="C9">
            <v>60.52966080128077</v>
          </cell>
        </row>
        <row r="10">
          <cell r="C10">
            <v>8.9437294493242501</v>
          </cell>
          <cell r="D10">
            <v>0.59937077804504002</v>
          </cell>
        </row>
        <row r="12">
          <cell r="C12" t="str">
            <v>NA</v>
          </cell>
          <cell r="D12">
            <v>7.8503099468548996</v>
          </cell>
        </row>
        <row r="21">
          <cell r="C21">
            <v>1.1213696964999999E-4</v>
          </cell>
          <cell r="D21">
            <v>0.18112422056654001</v>
          </cell>
        </row>
        <row r="22">
          <cell r="C22">
            <v>1.7210787299999999E-2</v>
          </cell>
          <cell r="D22">
            <v>2.07747767857E-3</v>
          </cell>
        </row>
      </sheetData>
      <sheetData sheetId="55"/>
      <sheetData sheetId="56">
        <row r="7">
          <cell r="C7">
            <v>3064.9425662732392</v>
          </cell>
          <cell r="D7">
            <v>3126.5543495140309</v>
          </cell>
          <cell r="J7">
            <v>16400.109621933469</v>
          </cell>
        </row>
        <row r="28">
          <cell r="C28">
            <v>1736.8347562651254</v>
          </cell>
          <cell r="D28">
            <v>2518.0048560201822</v>
          </cell>
          <cell r="J28">
            <v>4280.662462796693</v>
          </cell>
        </row>
        <row r="29">
          <cell r="C29">
            <v>1513.2415200320193</v>
          </cell>
          <cell r="J29">
            <v>1513.2415200320193</v>
          </cell>
        </row>
        <row r="30">
          <cell r="C30">
            <v>223.59323623310624</v>
          </cell>
          <cell r="D30">
            <v>178.61249185742193</v>
          </cell>
          <cell r="J30">
            <v>402.20572809052817</v>
          </cell>
        </row>
        <row r="32">
          <cell r="D32">
            <v>2339.3923641627603</v>
          </cell>
          <cell r="J32">
            <v>2339.3923641627603</v>
          </cell>
        </row>
        <row r="41">
          <cell r="C41">
            <v>2.8034242412500001E-3</v>
          </cell>
          <cell r="D41">
            <v>53.975017728828917</v>
          </cell>
          <cell r="J41">
            <v>1078.2140792217419</v>
          </cell>
        </row>
        <row r="42">
          <cell r="C42">
            <v>0.43026968249999997</v>
          </cell>
          <cell r="D42">
            <v>0.61908834821386005</v>
          </cell>
          <cell r="J42">
            <v>-967.81519207137808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E10">
            <v>63.996247348542511</v>
          </cell>
        </row>
      </sheetData>
      <sheetData sheetId="37">
        <row r="10">
          <cell r="E10">
            <v>68.603718391713159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>
        <row r="24">
          <cell r="G24">
            <v>1117.8588102473634</v>
          </cell>
        </row>
        <row r="36">
          <cell r="G36">
            <v>59.630337756680419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C7" t="str">
            <v>NO</v>
          </cell>
        </row>
        <row r="9">
          <cell r="C9" t="str">
            <v>NO</v>
          </cell>
          <cell r="D9" t="str">
            <v>NO</v>
          </cell>
        </row>
        <row r="10">
          <cell r="C10" t="str">
            <v>NO</v>
          </cell>
          <cell r="D10" t="str">
            <v>NO</v>
          </cell>
        </row>
        <row r="11">
          <cell r="B11">
            <v>10.97891666666667</v>
          </cell>
        </row>
        <row r="12">
          <cell r="B12" t="str">
            <v>NE</v>
          </cell>
        </row>
        <row r="13">
          <cell r="B13" t="str">
            <v>NO</v>
          </cell>
        </row>
        <row r="14">
          <cell r="B14" t="str">
            <v>NO</v>
          </cell>
          <cell r="C14" t="str">
            <v>NO</v>
          </cell>
          <cell r="D14" t="str">
            <v>NO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7">
          <cell r="C17" t="str">
            <v>NO</v>
          </cell>
          <cell r="E17" t="str">
            <v>NO</v>
          </cell>
        </row>
      </sheetData>
      <sheetData sheetId="30"/>
      <sheetData sheetId="31"/>
      <sheetData sheetId="32"/>
      <sheetData sheetId="33">
        <row r="8">
          <cell r="C8" t="str">
            <v>NO</v>
          </cell>
        </row>
        <row r="11">
          <cell r="B11">
            <v>32.188286325461007</v>
          </cell>
        </row>
        <row r="14">
          <cell r="B14">
            <v>-41.68888243083326</v>
          </cell>
        </row>
      </sheetData>
      <sheetData sheetId="34">
        <row r="17">
          <cell r="L17">
            <v>258.60000000000002</v>
          </cell>
        </row>
      </sheetData>
      <sheetData sheetId="35">
        <row r="10">
          <cell r="C10">
            <v>96.189093182490026</v>
          </cell>
        </row>
      </sheetData>
      <sheetData sheetId="36">
        <row r="10">
          <cell r="C10">
            <v>59.954209439992702</v>
          </cell>
          <cell r="D10">
            <v>59.954209439992702</v>
          </cell>
          <cell r="E10" t="str">
            <v>NO</v>
          </cell>
          <cell r="P10">
            <v>-7.4294537156552298</v>
          </cell>
          <cell r="Q10" t="str">
            <v>NO</v>
          </cell>
        </row>
      </sheetData>
      <sheetData sheetId="37">
        <row r="10">
          <cell r="C10">
            <v>75.0954161384592</v>
          </cell>
          <cell r="D10">
            <v>75.0954161384592</v>
          </cell>
          <cell r="E10" t="str">
            <v>NO</v>
          </cell>
          <cell r="P10">
            <v>12.85467356339889</v>
          </cell>
          <cell r="Q10" t="str">
            <v>NO</v>
          </cell>
        </row>
      </sheetData>
      <sheetData sheetId="38">
        <row r="10">
          <cell r="C10">
            <v>1.2322175518843299</v>
          </cell>
        </row>
      </sheetData>
      <sheetData sheetId="39">
        <row r="10">
          <cell r="C10">
            <v>26.075007227055309</v>
          </cell>
        </row>
      </sheetData>
      <sheetData sheetId="40">
        <row r="10">
          <cell r="C10">
            <v>5.4056460118490003E-2</v>
          </cell>
        </row>
      </sheetData>
      <sheetData sheetId="41"/>
      <sheetData sheetId="42">
        <row r="10">
          <cell r="H10" t="str">
            <v>NO</v>
          </cell>
        </row>
        <row r="22">
          <cell r="I22" t="str">
            <v>NO</v>
          </cell>
        </row>
        <row r="28">
          <cell r="C28" t="str">
            <v>NO</v>
          </cell>
          <cell r="G28" t="str">
            <v>NO</v>
          </cell>
          <cell r="H28" t="str">
            <v>NO</v>
          </cell>
          <cell r="I28" t="str">
            <v>NO</v>
          </cell>
        </row>
        <row r="33">
          <cell r="I33" t="str">
            <v>NO</v>
          </cell>
        </row>
        <row r="39">
          <cell r="C39" t="str">
            <v>NO</v>
          </cell>
          <cell r="G39" t="str">
            <v>NO</v>
          </cell>
          <cell r="H39" t="str">
            <v>NO</v>
          </cell>
          <cell r="I39" t="str">
            <v>NO</v>
          </cell>
        </row>
      </sheetData>
      <sheetData sheetId="43">
        <row r="10">
          <cell r="B10">
            <v>2.6973567705598001</v>
          </cell>
        </row>
        <row r="18">
          <cell r="B18">
            <v>6.2015770227141402</v>
          </cell>
          <cell r="D18">
            <v>1.038917026655E-2</v>
          </cell>
        </row>
        <row r="25">
          <cell r="B25">
            <v>75.0954161384592</v>
          </cell>
          <cell r="D25">
            <v>5.5518963106999995E-4</v>
          </cell>
        </row>
      </sheetData>
      <sheetData sheetId="44">
        <row r="9">
          <cell r="E9">
            <v>6.6542361482999999E-3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7">
          <cell r="B7">
            <v>9344.4439294318454</v>
          </cell>
          <cell r="C7">
            <v>23.5063272603056</v>
          </cell>
          <cell r="D7">
            <v>1.0870159533472099</v>
          </cell>
        </row>
      </sheetData>
      <sheetData sheetId="54">
        <row r="8">
          <cell r="B8">
            <v>10.97891666666667</v>
          </cell>
          <cell r="C8">
            <v>18.534884526527801</v>
          </cell>
          <cell r="D8">
            <v>0.72514439703302003</v>
          </cell>
        </row>
        <row r="9">
          <cell r="C9">
            <v>16.137564308156431</v>
          </cell>
        </row>
        <row r="10">
          <cell r="C10">
            <v>2.39732021837137</v>
          </cell>
          <cell r="D10">
            <v>9.1504436637940001E-2</v>
          </cell>
        </row>
        <row r="12">
          <cell r="C12" t="str">
            <v>NO</v>
          </cell>
          <cell r="D12">
            <v>0.63363996039507997</v>
          </cell>
        </row>
        <row r="21">
          <cell r="C21" t="str">
            <v>NO</v>
          </cell>
          <cell r="D21">
            <v>1.038917026655E-2</v>
          </cell>
        </row>
        <row r="22">
          <cell r="C22" t="str">
            <v>NO</v>
          </cell>
          <cell r="D22">
            <v>5.5518963106999995E-4</v>
          </cell>
        </row>
      </sheetData>
      <sheetData sheetId="55"/>
      <sheetData sheetId="56">
        <row r="7">
          <cell r="C7">
            <v>587.65818150764005</v>
          </cell>
          <cell r="D7">
            <v>323.93075409746859</v>
          </cell>
          <cell r="J7">
            <v>10333.875042231528</v>
          </cell>
        </row>
        <row r="28">
          <cell r="C28">
            <v>463.37211316319502</v>
          </cell>
          <cell r="D28">
            <v>216.09303031583997</v>
          </cell>
          <cell r="J28">
            <v>690.44406014570166</v>
          </cell>
        </row>
        <row r="29">
          <cell r="C29">
            <v>403.43910770391074</v>
          </cell>
          <cell r="J29">
            <v>403.43910770391074</v>
          </cell>
        </row>
        <row r="30">
          <cell r="C30">
            <v>59.933005459284253</v>
          </cell>
          <cell r="D30">
            <v>27.26832211810612</v>
          </cell>
          <cell r="J30">
            <v>87.201327577390373</v>
          </cell>
        </row>
        <row r="32">
          <cell r="D32">
            <v>188.82470819773383</v>
          </cell>
          <cell r="J32">
            <v>188.82470819773383</v>
          </cell>
        </row>
        <row r="41">
          <cell r="C41" t="str">
            <v>NO</v>
          </cell>
          <cell r="D41">
            <v>3.0959727394318999</v>
          </cell>
          <cell r="J41">
            <v>35.284259064892908</v>
          </cell>
        </row>
        <row r="42">
          <cell r="C42" t="str">
            <v>NO</v>
          </cell>
          <cell r="D42">
            <v>0.16544651005885999</v>
          </cell>
          <cell r="J42">
            <v>-41.523435920774403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C7" t="str">
            <v>NO</v>
          </cell>
        </row>
        <row r="9">
          <cell r="C9" t="str">
            <v>NO</v>
          </cell>
          <cell r="D9" t="str">
            <v>NO</v>
          </cell>
        </row>
        <row r="10">
          <cell r="C10" t="str">
            <v>NO</v>
          </cell>
          <cell r="D10" t="str">
            <v>NO</v>
          </cell>
        </row>
        <row r="11">
          <cell r="B11">
            <v>34.378666666666668</v>
          </cell>
        </row>
        <row r="12">
          <cell r="B12">
            <v>10.110466666666669</v>
          </cell>
        </row>
        <row r="13">
          <cell r="B13" t="str">
            <v>NE</v>
          </cell>
        </row>
        <row r="14">
          <cell r="B14" t="str">
            <v>NO</v>
          </cell>
          <cell r="C14" t="str">
            <v>NO</v>
          </cell>
          <cell r="D14" t="str">
            <v>NO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7">
          <cell r="C17">
            <v>158319.48801640363</v>
          </cell>
          <cell r="E17">
            <v>2.63312241738319</v>
          </cell>
        </row>
      </sheetData>
      <sheetData sheetId="30"/>
      <sheetData sheetId="31"/>
      <sheetData sheetId="32"/>
      <sheetData sheetId="33">
        <row r="8">
          <cell r="C8">
            <v>15.739884</v>
          </cell>
        </row>
        <row r="11">
          <cell r="B11">
            <v>2336.4157483333356</v>
          </cell>
        </row>
        <row r="14">
          <cell r="B14">
            <v>1562.3426023333348</v>
          </cell>
        </row>
      </sheetData>
      <sheetData sheetId="34">
        <row r="17">
          <cell r="L17">
            <v>6458.9498750000002</v>
          </cell>
        </row>
      </sheetData>
      <sheetData sheetId="35">
        <row r="10">
          <cell r="C10">
            <v>3244.9228119999998</v>
          </cell>
        </row>
      </sheetData>
      <sheetData sheetId="36">
        <row r="10">
          <cell r="C10">
            <v>1470.2877719999999</v>
          </cell>
          <cell r="D10">
            <v>1391.660586</v>
          </cell>
          <cell r="E10">
            <v>78.627185999999995</v>
          </cell>
          <cell r="P10">
            <v>-4.3035550000000002</v>
          </cell>
          <cell r="Q10">
            <v>-621.15477400000009</v>
          </cell>
        </row>
      </sheetData>
      <sheetData sheetId="37">
        <row r="10">
          <cell r="C10">
            <v>1029.050301</v>
          </cell>
          <cell r="D10">
            <v>949.36221599999999</v>
          </cell>
          <cell r="E10">
            <v>79.688085000000001</v>
          </cell>
          <cell r="P10" t="str">
            <v>NO,NE,NA</v>
          </cell>
          <cell r="Q10">
            <v>-398.33836600000001</v>
          </cell>
        </row>
      </sheetData>
      <sheetData sheetId="38">
        <row r="10">
          <cell r="C10">
            <v>399.86486399999995</v>
          </cell>
        </row>
      </sheetData>
      <sheetData sheetId="39">
        <row r="10">
          <cell r="C10">
            <v>309.38723799999997</v>
          </cell>
        </row>
      </sheetData>
      <sheetData sheetId="40">
        <row r="10">
          <cell r="C10">
            <v>5.43688634</v>
          </cell>
        </row>
      </sheetData>
      <sheetData sheetId="41"/>
      <sheetData sheetId="42">
        <row r="10">
          <cell r="H10">
            <v>1.7161770000000001</v>
          </cell>
        </row>
        <row r="18">
          <cell r="I18">
            <v>4.0270700000000001</v>
          </cell>
        </row>
        <row r="22">
          <cell r="C22" t="str">
            <v>NO</v>
          </cell>
          <cell r="G22" t="str">
            <v>NO</v>
          </cell>
          <cell r="H22" t="str">
            <v>NO</v>
          </cell>
          <cell r="I22" t="str">
            <v>NO</v>
          </cell>
        </row>
        <row r="26">
          <cell r="I26">
            <v>4.6638489999999999</v>
          </cell>
        </row>
        <row r="30">
          <cell r="C30" t="str">
            <v>NO</v>
          </cell>
          <cell r="G30" t="str">
            <v>NO</v>
          </cell>
          <cell r="H30" t="str">
            <v>NO</v>
          </cell>
          <cell r="I30" t="str">
            <v>NO</v>
          </cell>
        </row>
      </sheetData>
      <sheetData sheetId="43">
        <row r="10">
          <cell r="B10" t="str">
            <v>NO</v>
          </cell>
        </row>
        <row r="13">
          <cell r="B13">
            <v>87.650143</v>
          </cell>
          <cell r="D13">
            <v>4.5079999999999999E-3</v>
          </cell>
        </row>
        <row r="15">
          <cell r="B15">
            <v>538.45865000000003</v>
          </cell>
          <cell r="D15" t="str">
            <v>NO,NA</v>
          </cell>
        </row>
      </sheetData>
      <sheetData sheetId="44">
        <row r="9">
          <cell r="E9">
            <v>8.5529999999999998E-3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7">
          <cell r="B7">
            <v>7956.0573049782361</v>
          </cell>
          <cell r="C7">
            <v>97.121474512080439</v>
          </cell>
          <cell r="D7">
            <v>8.38948557826272</v>
          </cell>
        </row>
      </sheetData>
      <sheetData sheetId="54">
        <row r="8">
          <cell r="B8">
            <v>44.489133333333342</v>
          </cell>
          <cell r="C8">
            <v>37.596230779179329</v>
          </cell>
          <cell r="D8">
            <v>5.4530348802927202</v>
          </cell>
        </row>
        <row r="9">
          <cell r="C9">
            <v>33.9973412190242</v>
          </cell>
        </row>
        <row r="10">
          <cell r="C10">
            <v>3.5988895601551301</v>
          </cell>
          <cell r="D10">
            <v>0.26397629144904999</v>
          </cell>
        </row>
        <row r="12">
          <cell r="C12" t="str">
            <v>NE</v>
          </cell>
          <cell r="D12">
            <v>5.18905858884367</v>
          </cell>
        </row>
        <row r="21">
          <cell r="C21">
            <v>4.0270700000000001</v>
          </cell>
          <cell r="D21">
            <v>4.5079999999999999E-3</v>
          </cell>
        </row>
        <row r="22">
          <cell r="C22">
            <v>4.6710630000000002</v>
          </cell>
          <cell r="D22">
            <v>6.5899999999999997E-4</v>
          </cell>
        </row>
      </sheetData>
      <sheetData sheetId="55"/>
      <sheetData sheetId="56">
        <row r="7">
          <cell r="C7">
            <v>2428.036862802011</v>
          </cell>
          <cell r="D7">
            <v>2500.0667023222904</v>
          </cell>
          <cell r="J7">
            <v>13133.216275970271</v>
          </cell>
        </row>
        <row r="28">
          <cell r="C28">
            <v>939.9057694794833</v>
          </cell>
          <cell r="D28">
            <v>1625.0043943272306</v>
          </cell>
          <cell r="J28">
            <v>2609.3992971400471</v>
          </cell>
        </row>
        <row r="29">
          <cell r="C29">
            <v>849.93353047560504</v>
          </cell>
          <cell r="J29">
            <v>849.93353047560504</v>
          </cell>
        </row>
        <row r="30">
          <cell r="C30">
            <v>89.972239003878244</v>
          </cell>
          <cell r="D30">
            <v>78.664934851816895</v>
          </cell>
          <cell r="J30">
            <v>168.63717385569515</v>
          </cell>
        </row>
        <row r="32">
          <cell r="D32">
            <v>1546.3394594754136</v>
          </cell>
          <cell r="J32">
            <v>1546.3394594754136</v>
          </cell>
        </row>
        <row r="41">
          <cell r="C41">
            <v>100.67675</v>
          </cell>
          <cell r="D41">
            <v>1.3433839999999999</v>
          </cell>
          <cell r="J41">
            <v>2438.4358823333355</v>
          </cell>
        </row>
        <row r="42">
          <cell r="C42">
            <v>116.77657499999999</v>
          </cell>
          <cell r="D42">
            <v>0.196382</v>
          </cell>
          <cell r="J42">
            <v>1679.3155593333347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C7" t="str">
            <v>NO,NA</v>
          </cell>
        </row>
        <row r="9">
          <cell r="C9" t="str">
            <v>NO</v>
          </cell>
          <cell r="D9" t="str">
            <v>NO</v>
          </cell>
        </row>
        <row r="10">
          <cell r="C10" t="str">
            <v>NO,NA</v>
          </cell>
          <cell r="D10" t="str">
            <v>NO,NA</v>
          </cell>
        </row>
        <row r="11">
          <cell r="B11" t="str">
            <v>NO</v>
          </cell>
        </row>
        <row r="12">
          <cell r="B12" t="str">
            <v>NE</v>
          </cell>
        </row>
        <row r="13">
          <cell r="B13" t="str">
            <v>NO</v>
          </cell>
        </row>
        <row r="14">
          <cell r="B14" t="str">
            <v/>
          </cell>
          <cell r="C14" t="str">
            <v>NA</v>
          </cell>
          <cell r="D14" t="str">
            <v>NA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7">
          <cell r="C17" t="str">
            <v>NO</v>
          </cell>
          <cell r="E17" t="str">
            <v>NO</v>
          </cell>
        </row>
      </sheetData>
      <sheetData sheetId="30"/>
      <sheetData sheetId="31"/>
      <sheetData sheetId="32"/>
      <sheetData sheetId="33">
        <row r="8">
          <cell r="C8" t="str">
            <v>NO</v>
          </cell>
        </row>
        <row r="11">
          <cell r="B11">
            <v>2.63533966666667</v>
          </cell>
        </row>
        <row r="14">
          <cell r="B14">
            <v>-0.27918733333334</v>
          </cell>
        </row>
      </sheetData>
      <sheetData sheetId="34">
        <row r="17">
          <cell r="L17">
            <v>31.535</v>
          </cell>
        </row>
      </sheetData>
      <sheetData sheetId="35">
        <row r="10">
          <cell r="C10">
            <v>7.1999999999999995E-2</v>
          </cell>
        </row>
      </sheetData>
      <sheetData sheetId="36">
        <row r="10">
          <cell r="C10">
            <v>4.1420000000000003</v>
          </cell>
          <cell r="D10">
            <v>4.1420000000000003</v>
          </cell>
          <cell r="E10" t="str">
            <v>NO</v>
          </cell>
          <cell r="P10">
            <v>-1.0090570000000001</v>
          </cell>
          <cell r="Q10" t="str">
            <v>NO</v>
          </cell>
        </row>
      </sheetData>
      <sheetData sheetId="37">
        <row r="10">
          <cell r="C10">
            <v>10.055999999999999</v>
          </cell>
          <cell r="D10">
            <v>10.055999999999999</v>
          </cell>
          <cell r="E10" t="str">
            <v>NO</v>
          </cell>
          <cell r="P10">
            <v>7.6109999999999997E-2</v>
          </cell>
          <cell r="Q10" t="str">
            <v>NO</v>
          </cell>
        </row>
      </sheetData>
      <sheetData sheetId="38">
        <row r="10">
          <cell r="C10">
            <v>2.5000000000000001E-2</v>
          </cell>
        </row>
      </sheetData>
      <sheetData sheetId="39">
        <row r="10">
          <cell r="C10">
            <v>9.1379999999999999</v>
          </cell>
        </row>
      </sheetData>
      <sheetData sheetId="40">
        <row r="10">
          <cell r="C10">
            <v>0.56200000000000006</v>
          </cell>
        </row>
      </sheetData>
      <sheetData sheetId="41"/>
      <sheetData sheetId="42">
        <row r="10">
          <cell r="H10" t="str">
            <v>NO</v>
          </cell>
        </row>
        <row r="18">
          <cell r="I18" t="str">
            <v>NO</v>
          </cell>
        </row>
        <row r="22">
          <cell r="C22" t="str">
            <v>NO</v>
          </cell>
          <cell r="G22" t="str">
            <v>NO</v>
          </cell>
          <cell r="H22" t="str">
            <v>NO</v>
          </cell>
          <cell r="I22" t="str">
            <v>NO</v>
          </cell>
        </row>
        <row r="26">
          <cell r="I26" t="str">
            <v>NO</v>
          </cell>
        </row>
        <row r="33">
          <cell r="C33" t="str">
            <v>NO</v>
          </cell>
          <cell r="G33" t="str">
            <v>NO</v>
          </cell>
          <cell r="H33" t="str">
            <v>NO</v>
          </cell>
          <cell r="I33" t="str">
            <v>NO</v>
          </cell>
        </row>
      </sheetData>
      <sheetData sheetId="43">
        <row r="10">
          <cell r="B10" t="str">
            <v>NO</v>
          </cell>
        </row>
        <row r="13">
          <cell r="B13">
            <v>2.7559999999999998</v>
          </cell>
          <cell r="D13">
            <v>1.0709999999999999E-3</v>
          </cell>
        </row>
        <row r="15">
          <cell r="B15" t="str">
            <v>NO</v>
          </cell>
          <cell r="D15" t="str">
            <v>NO</v>
          </cell>
        </row>
      </sheetData>
      <sheetData sheetId="44">
        <row r="9">
          <cell r="E9" t="str">
            <v>IE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7">
          <cell r="B7">
            <v>1535.4619552299944</v>
          </cell>
          <cell r="C7">
            <v>7.9940531641323904</v>
          </cell>
          <cell r="D7">
            <v>0.14506116326189999</v>
          </cell>
        </row>
      </sheetData>
      <sheetData sheetId="54">
        <row r="8">
          <cell r="B8" t="str">
            <v>NO,NE</v>
          </cell>
          <cell r="C8">
            <v>1.45346070395143</v>
          </cell>
          <cell r="D8">
            <v>9.7736692707209999E-2</v>
          </cell>
        </row>
        <row r="9">
          <cell r="C9">
            <v>1.2664943529877599</v>
          </cell>
        </row>
        <row r="10">
          <cell r="C10">
            <v>0.18696635096367001</v>
          </cell>
          <cell r="D10">
            <v>3.4206745040190001E-2</v>
          </cell>
        </row>
        <row r="12">
          <cell r="C12" t="str">
            <v>NA,NE</v>
          </cell>
          <cell r="D12">
            <v>6.3529947667019998E-2</v>
          </cell>
        </row>
        <row r="21">
          <cell r="C21" t="str">
            <v>NO,NE</v>
          </cell>
          <cell r="D21">
            <v>1.0709999999999999E-3</v>
          </cell>
        </row>
        <row r="22">
          <cell r="C22" t="str">
            <v>NO</v>
          </cell>
          <cell r="D22" t="str">
            <v>NO</v>
          </cell>
        </row>
      </sheetData>
      <sheetData sheetId="55"/>
      <sheetData sheetId="56">
        <row r="7">
          <cell r="C7">
            <v>199.85132910330975</v>
          </cell>
          <cell r="D7">
            <v>43.228226652046203</v>
          </cell>
          <cell r="J7">
            <v>2190.4544093595518</v>
          </cell>
        </row>
        <row r="28">
          <cell r="C28">
            <v>36.336517598785747</v>
          </cell>
          <cell r="D28">
            <v>29.12553442674858</v>
          </cell>
          <cell r="J28">
            <v>65.462052025534334</v>
          </cell>
        </row>
        <row r="29">
          <cell r="C29">
            <v>31.662358824694</v>
          </cell>
          <cell r="J29">
            <v>31.662358824694</v>
          </cell>
        </row>
        <row r="30">
          <cell r="C30">
            <v>4.6741587740917501</v>
          </cell>
          <cell r="D30">
            <v>10.193610021976619</v>
          </cell>
          <cell r="J30">
            <v>14.86776879606837</v>
          </cell>
        </row>
        <row r="32">
          <cell r="D32">
            <v>18.931924404771959</v>
          </cell>
          <cell r="J32">
            <v>18.931924404771959</v>
          </cell>
        </row>
        <row r="41">
          <cell r="C41" t="str">
            <v>NO,NE</v>
          </cell>
          <cell r="D41">
            <v>0.319158</v>
          </cell>
          <cell r="J41">
            <v>2.9544976666666698</v>
          </cell>
        </row>
        <row r="42">
          <cell r="C42" t="str">
            <v>NO</v>
          </cell>
          <cell r="D42" t="str">
            <v>NO</v>
          </cell>
          <cell r="J42">
            <v>-0.27918733333334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C7" t="str">
            <v>NO</v>
          </cell>
        </row>
        <row r="9">
          <cell r="C9" t="str">
            <v>NO</v>
          </cell>
          <cell r="D9" t="str">
            <v>NO</v>
          </cell>
        </row>
        <row r="10">
          <cell r="C10" t="str">
            <v>NO</v>
          </cell>
          <cell r="D10" t="str">
            <v>NO</v>
          </cell>
        </row>
        <row r="11">
          <cell r="B11">
            <v>35.8751584596993</v>
          </cell>
        </row>
        <row r="12">
          <cell r="B12" t="str">
            <v>IE</v>
          </cell>
        </row>
        <row r="13">
          <cell r="B13" t="str">
            <v>NO</v>
          </cell>
        </row>
        <row r="14">
          <cell r="B14" t="str">
            <v>NO</v>
          </cell>
          <cell r="C14" t="str">
            <v>NA</v>
          </cell>
          <cell r="D14" t="str">
            <v>NA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7">
          <cell r="C17">
            <v>328561.88699826697</v>
          </cell>
          <cell r="E17">
            <v>2.29569692867973</v>
          </cell>
        </row>
      </sheetData>
      <sheetData sheetId="30"/>
      <sheetData sheetId="31"/>
      <sheetData sheetId="32"/>
      <sheetData sheetId="33">
        <row r="8">
          <cell r="C8">
            <v>1.0769228699999999E-2</v>
          </cell>
        </row>
        <row r="11">
          <cell r="B11">
            <v>1619.6420899717903</v>
          </cell>
        </row>
        <row r="14">
          <cell r="B14">
            <v>3194.6805949199916</v>
          </cell>
        </row>
      </sheetData>
      <sheetData sheetId="34">
        <row r="17">
          <cell r="L17">
            <v>4153.0094618400199</v>
          </cell>
        </row>
      </sheetData>
      <sheetData sheetId="35">
        <row r="10">
          <cell r="C10">
            <v>361.21571021456003</v>
          </cell>
        </row>
      </sheetData>
      <sheetData sheetId="36">
        <row r="10">
          <cell r="C10">
            <v>833.07189490365749</v>
          </cell>
          <cell r="D10">
            <v>772.26807222970001</v>
          </cell>
          <cell r="E10">
            <v>60.803822673957498</v>
          </cell>
          <cell r="P10">
            <v>-140.03360258079999</v>
          </cell>
          <cell r="Q10">
            <v>-221.40906025979601</v>
          </cell>
        </row>
      </sheetData>
      <sheetData sheetId="37">
        <row r="10">
          <cell r="C10">
            <v>1458.574106147923</v>
          </cell>
          <cell r="D10">
            <v>1181.1742424030001</v>
          </cell>
          <cell r="E10">
            <v>277.39986374492298</v>
          </cell>
          <cell r="P10">
            <v>345.6558750817</v>
          </cell>
          <cell r="Q10">
            <v>-1123.4736390736059</v>
          </cell>
        </row>
      </sheetData>
      <sheetData sheetId="38">
        <row r="10">
          <cell r="C10">
            <v>821.86679675999994</v>
          </cell>
        </row>
      </sheetData>
      <sheetData sheetId="39">
        <row r="10">
          <cell r="C10">
            <v>637.7106254798</v>
          </cell>
        </row>
      </sheetData>
      <sheetData sheetId="40">
        <row r="10">
          <cell r="C10">
            <v>40.570153709483002</v>
          </cell>
        </row>
      </sheetData>
      <sheetData sheetId="41"/>
      <sheetData sheetId="42">
        <row r="10">
          <cell r="H10">
            <v>3.5333244567899999E-3</v>
          </cell>
        </row>
        <row r="18">
          <cell r="I18" t="str">
            <v>NE</v>
          </cell>
        </row>
        <row r="23">
          <cell r="C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</row>
        <row r="27">
          <cell r="I27" t="str">
            <v>NE</v>
          </cell>
        </row>
        <row r="31">
          <cell r="C31" t="str">
            <v>NE</v>
          </cell>
          <cell r="G31" t="str">
            <v>NE</v>
          </cell>
          <cell r="H31" t="str">
            <v>NE</v>
          </cell>
          <cell r="I31" t="str">
            <v>NE</v>
          </cell>
        </row>
      </sheetData>
      <sheetData sheetId="43">
        <row r="10">
          <cell r="B10">
            <v>341.65770532100004</v>
          </cell>
        </row>
        <row r="18">
          <cell r="B18">
            <v>262.36616500000002</v>
          </cell>
          <cell r="D18">
            <v>0.16280028399999999</v>
          </cell>
        </row>
        <row r="20">
          <cell r="B20">
            <v>1181.1742409999999</v>
          </cell>
          <cell r="D20">
            <v>2.4994800130000001E-2</v>
          </cell>
        </row>
      </sheetData>
      <sheetData sheetId="44">
        <row r="9">
          <cell r="E9" t="str">
            <v>IE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7">
          <cell r="B7">
            <v>164985.06331357185</v>
          </cell>
          <cell r="C7">
            <v>692.36404418791267</v>
          </cell>
          <cell r="D7">
            <v>28.351614005780679</v>
          </cell>
        </row>
      </sheetData>
      <sheetData sheetId="54">
        <row r="8">
          <cell r="B8">
            <v>35.8751584596993</v>
          </cell>
          <cell r="C8">
            <v>483.01463490817304</v>
          </cell>
          <cell r="D8">
            <v>20.548025984428651</v>
          </cell>
        </row>
        <row r="9">
          <cell r="C9">
            <v>330.73177974108211</v>
          </cell>
        </row>
        <row r="10">
          <cell r="C10">
            <v>152.28285516709093</v>
          </cell>
          <cell r="D10">
            <v>2.6077678128800001</v>
          </cell>
        </row>
        <row r="12">
          <cell r="C12" t="str">
            <v>NO</v>
          </cell>
          <cell r="D12">
            <v>17.940258171548649</v>
          </cell>
        </row>
        <row r="21">
          <cell r="C21" t="str">
            <v>NO,NE,IE</v>
          </cell>
          <cell r="D21">
            <v>0.16280028399999999</v>
          </cell>
        </row>
        <row r="22">
          <cell r="C22">
            <v>2.19200856E-3</v>
          </cell>
          <cell r="D22">
            <v>2.5194940042E-2</v>
          </cell>
        </row>
      </sheetData>
      <sheetData sheetId="55"/>
      <sheetData sheetId="56">
        <row r="7">
          <cell r="C7">
            <v>17309.101104697816</v>
          </cell>
          <cell r="D7">
            <v>8448.7809737226435</v>
          </cell>
          <cell r="J7">
            <v>192671.29051482861</v>
          </cell>
        </row>
        <row r="28">
          <cell r="C28">
            <v>12075.365872704326</v>
          </cell>
          <cell r="D28">
            <v>6123.3117433597381</v>
          </cell>
          <cell r="J28">
            <v>18234.552774523763</v>
          </cell>
        </row>
        <row r="29">
          <cell r="C29">
            <v>8268.2944935270534</v>
          </cell>
          <cell r="J29">
            <v>8268.2944935270534</v>
          </cell>
        </row>
        <row r="30">
          <cell r="C30">
            <v>3807.0713791772728</v>
          </cell>
          <cell r="D30">
            <v>777.11480823824002</v>
          </cell>
          <cell r="J30">
            <v>4584.1861874155129</v>
          </cell>
        </row>
        <row r="32">
          <cell r="D32">
            <v>5346.1969351214975</v>
          </cell>
          <cell r="J32">
            <v>5346.1969351214975</v>
          </cell>
        </row>
        <row r="41">
          <cell r="C41" t="str">
            <v>NO,NE,IE</v>
          </cell>
          <cell r="D41">
            <v>48.514484631999998</v>
          </cell>
          <cell r="J41">
            <v>1668.1565746037902</v>
          </cell>
        </row>
        <row r="42">
          <cell r="C42">
            <v>5.4800214E-2</v>
          </cell>
          <cell r="D42">
            <v>7.5080921325160004</v>
          </cell>
          <cell r="J42">
            <v>3202.2434872665076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C7" t="str">
            <v>NO</v>
          </cell>
        </row>
        <row r="9">
          <cell r="C9" t="str">
            <v>NO</v>
          </cell>
          <cell r="D9" t="str">
            <v>NO</v>
          </cell>
        </row>
        <row r="10">
          <cell r="C10">
            <v>0.98325508830248998</v>
          </cell>
          <cell r="D10">
            <v>4.0212629710610001E-2</v>
          </cell>
        </row>
        <row r="11">
          <cell r="B11">
            <v>526.9272186404994</v>
          </cell>
        </row>
        <row r="12">
          <cell r="B12">
            <v>412.89786842857143</v>
          </cell>
        </row>
        <row r="13">
          <cell r="B13" t="str">
            <v>NO</v>
          </cell>
        </row>
        <row r="14">
          <cell r="B14" t="str">
            <v>NO</v>
          </cell>
          <cell r="C14" t="str">
            <v>NO</v>
          </cell>
          <cell r="D14" t="str">
            <v>NO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7">
          <cell r="C17">
            <v>921788.96000000183</v>
          </cell>
          <cell r="E17">
            <v>11.58820406857145</v>
          </cell>
        </row>
      </sheetData>
      <sheetData sheetId="30"/>
      <sheetData sheetId="31"/>
      <sheetData sheetId="32"/>
      <sheetData sheetId="33">
        <row r="8">
          <cell r="C8">
            <v>0.48828810700539999</v>
          </cell>
        </row>
        <row r="11">
          <cell r="B11">
            <v>-611.95385624408232</v>
          </cell>
        </row>
        <row r="14">
          <cell r="B14">
            <v>-70.710547575020712</v>
          </cell>
        </row>
      </sheetData>
      <sheetData sheetId="34">
        <row r="17">
          <cell r="L17">
            <v>31270.53</v>
          </cell>
        </row>
      </sheetData>
      <sheetData sheetId="35">
        <row r="10">
          <cell r="C10">
            <v>9434.0779999999995</v>
          </cell>
        </row>
      </sheetData>
      <sheetData sheetId="36">
        <row r="10">
          <cell r="C10">
            <v>13918.088000000002</v>
          </cell>
          <cell r="D10">
            <v>13757.984100000001</v>
          </cell>
          <cell r="E10">
            <v>160.10389999999967</v>
          </cell>
          <cell r="P10">
            <v>-143.35849975161443</v>
          </cell>
          <cell r="Q10">
            <v>-160.00023999999968</v>
          </cell>
        </row>
      </sheetData>
      <sheetData sheetId="37">
        <row r="10">
          <cell r="C10">
            <v>4176.1869999999999</v>
          </cell>
          <cell r="D10">
            <v>3414.5019399999978</v>
          </cell>
          <cell r="E10">
            <v>761.68506000000218</v>
          </cell>
          <cell r="P10">
            <v>178.00722979318797</v>
          </cell>
          <cell r="Q10">
            <v>-190.42126500000055</v>
          </cell>
        </row>
      </sheetData>
      <sheetData sheetId="38">
        <row r="10">
          <cell r="C10">
            <v>1373.9249999999997</v>
          </cell>
        </row>
      </sheetData>
      <sheetData sheetId="39">
        <row r="10">
          <cell r="C10">
            <v>2286.4720000000002</v>
          </cell>
        </row>
      </sheetData>
      <sheetData sheetId="40">
        <row r="10">
          <cell r="C10">
            <v>81.78</v>
          </cell>
        </row>
      </sheetData>
      <sheetData sheetId="41"/>
      <sheetData sheetId="42">
        <row r="10">
          <cell r="H10" t="str">
            <v>NA</v>
          </cell>
        </row>
        <row r="18">
          <cell r="I18" t="str">
            <v>NA</v>
          </cell>
        </row>
        <row r="22">
          <cell r="C22" t="str">
            <v>NA</v>
          </cell>
          <cell r="G22" t="str">
            <v>NA</v>
          </cell>
          <cell r="H22" t="str">
            <v>NA</v>
          </cell>
          <cell r="I22" t="str">
            <v>NA</v>
          </cell>
        </row>
        <row r="26">
          <cell r="I26" t="str">
            <v>NA</v>
          </cell>
        </row>
        <row r="30">
          <cell r="C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</row>
      </sheetData>
      <sheetData sheetId="43">
        <row r="10">
          <cell r="B10">
            <v>597.21199999999999</v>
          </cell>
        </row>
        <row r="13">
          <cell r="B13">
            <v>290.19099999999997</v>
          </cell>
          <cell r="D13">
            <v>4.078530759033E-2</v>
          </cell>
        </row>
        <row r="15">
          <cell r="B15" t="str">
            <v>NO</v>
          </cell>
          <cell r="D15" t="str">
            <v>NO</v>
          </cell>
        </row>
      </sheetData>
      <sheetData sheetId="44">
        <row r="9">
          <cell r="E9" t="str">
            <v>IE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7">
          <cell r="B7">
            <v>300549.27981311519</v>
          </cell>
          <cell r="C7">
            <v>1950.7966880498595</v>
          </cell>
          <cell r="D7">
            <v>76.49238746519589</v>
          </cell>
        </row>
      </sheetData>
      <sheetData sheetId="54">
        <row r="8">
          <cell r="B8">
            <v>939.82508706907083</v>
          </cell>
          <cell r="C8">
            <v>583.52972454368694</v>
          </cell>
          <cell r="D8">
            <v>59.023503940546007</v>
          </cell>
        </row>
        <row r="9">
          <cell r="C9">
            <v>522.34147044040935</v>
          </cell>
        </row>
        <row r="10">
          <cell r="C10">
            <v>60.204999014975051</v>
          </cell>
          <cell r="D10">
            <v>7.4164070559952702</v>
          </cell>
        </row>
        <row r="12">
          <cell r="C12" t="str">
            <v>NA</v>
          </cell>
          <cell r="D12">
            <v>51.566884254840133</v>
          </cell>
        </row>
        <row r="21">
          <cell r="C21" t="str">
            <v>NO,NA</v>
          </cell>
          <cell r="D21">
            <v>4.078530759033E-2</v>
          </cell>
        </row>
        <row r="22">
          <cell r="C22">
            <v>0.17955193799999999</v>
          </cell>
          <cell r="D22">
            <v>9.9326603999999995E-3</v>
          </cell>
        </row>
      </sheetData>
      <sheetData sheetId="55"/>
      <sheetData sheetId="56">
        <row r="7">
          <cell r="C7">
            <v>48769.917201246491</v>
          </cell>
          <cell r="D7">
            <v>22794.731464628374</v>
          </cell>
          <cell r="J7">
            <v>376405.33259213407</v>
          </cell>
        </row>
        <row r="28">
          <cell r="C28">
            <v>14588.243113592172</v>
          </cell>
          <cell r="D28">
            <v>17589.004174282712</v>
          </cell>
          <cell r="J28">
            <v>33117.072374943957</v>
          </cell>
        </row>
        <row r="29">
          <cell r="C29">
            <v>13058.536761010233</v>
          </cell>
          <cell r="J29">
            <v>13058.536761010233</v>
          </cell>
        </row>
        <row r="30">
          <cell r="C30">
            <v>1505.1249753743762</v>
          </cell>
          <cell r="D30">
            <v>2210.0893026865906</v>
          </cell>
          <cell r="J30">
            <v>3715.2142780609665</v>
          </cell>
        </row>
        <row r="32">
          <cell r="D32">
            <v>15366.93150794236</v>
          </cell>
          <cell r="J32">
            <v>15366.93150794236</v>
          </cell>
        </row>
        <row r="41">
          <cell r="C41" t="str">
            <v>NO,NA</v>
          </cell>
          <cell r="D41">
            <v>12.154021661918341</v>
          </cell>
          <cell r="J41">
            <v>-599.79983458216407</v>
          </cell>
        </row>
        <row r="42">
          <cell r="C42">
            <v>4.48879845</v>
          </cell>
          <cell r="D42">
            <v>2.9599327992000002</v>
          </cell>
          <cell r="J42">
            <v>-63.26181632582071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C7">
            <v>5.4705166561617196</v>
          </cell>
        </row>
        <row r="9">
          <cell r="C9" t="str">
            <v>NO</v>
          </cell>
          <cell r="D9" t="str">
            <v>NO</v>
          </cell>
        </row>
        <row r="10">
          <cell r="C10">
            <v>1.31266182596924</v>
          </cell>
          <cell r="D10">
            <v>6.4336479905409999E-2</v>
          </cell>
        </row>
        <row r="11">
          <cell r="B11">
            <v>7.2801857638888903</v>
          </cell>
        </row>
        <row r="12">
          <cell r="B12">
            <v>40.506111688405802</v>
          </cell>
        </row>
        <row r="13">
          <cell r="B13" t="str">
            <v>NO</v>
          </cell>
        </row>
        <row r="14">
          <cell r="B14" t="str">
            <v>NO</v>
          </cell>
          <cell r="C14" t="str">
            <v>NO</v>
          </cell>
          <cell r="D14" t="str">
            <v>NO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7">
          <cell r="C17" t="str">
            <v>NO</v>
          </cell>
          <cell r="E17" t="str">
            <v>NO</v>
          </cell>
        </row>
      </sheetData>
      <sheetData sheetId="30"/>
      <sheetData sheetId="31"/>
      <sheetData sheetId="32"/>
      <sheetData sheetId="33">
        <row r="8">
          <cell r="C8">
            <v>2.3347465123057898</v>
          </cell>
        </row>
        <row r="11">
          <cell r="B11">
            <v>540.26847298024813</v>
          </cell>
        </row>
        <row r="14">
          <cell r="B14">
            <v>64.220782758410252</v>
          </cell>
        </row>
      </sheetData>
      <sheetData sheetId="34">
        <row r="17">
          <cell r="L17">
            <v>9239.3179999999993</v>
          </cell>
        </row>
      </sheetData>
      <sheetData sheetId="35">
        <row r="10">
          <cell r="C10">
            <v>4368.393</v>
          </cell>
        </row>
      </sheetData>
      <sheetData sheetId="36">
        <row r="10">
          <cell r="C10">
            <v>2391.826</v>
          </cell>
          <cell r="D10">
            <v>2391.826</v>
          </cell>
          <cell r="E10" t="str">
            <v>NO</v>
          </cell>
          <cell r="P10">
            <v>-132.90332499323199</v>
          </cell>
          <cell r="Q10" t="str">
            <v>NO</v>
          </cell>
        </row>
      </sheetData>
      <sheetData sheetId="37">
        <row r="10">
          <cell r="C10">
            <v>642.90899999999999</v>
          </cell>
          <cell r="D10">
            <v>642.90899999999999</v>
          </cell>
          <cell r="E10" t="str">
            <v>NO</v>
          </cell>
          <cell r="P10">
            <v>19.513138730182</v>
          </cell>
          <cell r="Q10" t="str">
            <v>NO</v>
          </cell>
        </row>
      </sheetData>
      <sheetData sheetId="38">
        <row r="10">
          <cell r="C10">
            <v>197.78399999999999</v>
          </cell>
        </row>
      </sheetData>
      <sheetData sheetId="39">
        <row r="10">
          <cell r="C10">
            <v>509.702</v>
          </cell>
        </row>
      </sheetData>
      <sheetData sheetId="40">
        <row r="10">
          <cell r="C10">
            <v>1128.704</v>
          </cell>
        </row>
      </sheetData>
      <sheetData sheetId="41"/>
      <sheetData sheetId="42">
        <row r="10">
          <cell r="H10" t="str">
            <v>NO</v>
          </cell>
        </row>
        <row r="18">
          <cell r="I18" t="str">
            <v>NO</v>
          </cell>
        </row>
        <row r="22">
          <cell r="C22" t="str">
            <v>NO</v>
          </cell>
          <cell r="G22" t="str">
            <v>NO</v>
          </cell>
          <cell r="H22" t="str">
            <v>NO</v>
          </cell>
          <cell r="I22" t="str">
            <v>NO</v>
          </cell>
        </row>
        <row r="26">
          <cell r="I26" t="str">
            <v>NO</v>
          </cell>
        </row>
        <row r="30">
          <cell r="C30" t="str">
            <v>NO</v>
          </cell>
          <cell r="G30" t="str">
            <v>NO</v>
          </cell>
          <cell r="H30" t="str">
            <v>NO</v>
          </cell>
          <cell r="I30" t="str">
            <v>NO</v>
          </cell>
        </row>
      </sheetData>
      <sheetData sheetId="43">
        <row r="10">
          <cell r="B10">
            <v>34.816000000000003</v>
          </cell>
        </row>
        <row r="18">
          <cell r="B18">
            <v>63.265999999999998</v>
          </cell>
          <cell r="D18">
            <v>0.15576228380953</v>
          </cell>
        </row>
        <row r="25">
          <cell r="B25">
            <v>36.396000000000001</v>
          </cell>
          <cell r="D25">
            <v>8.6720354285709997E-2</v>
          </cell>
        </row>
      </sheetData>
      <sheetData sheetId="44">
        <row r="9">
          <cell r="E9">
            <v>2.210795325E-2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7">
          <cell r="B7">
            <v>44768.556223735046</v>
          </cell>
          <cell r="C7">
            <v>368.84439252392627</v>
          </cell>
          <cell r="D7">
            <v>11.9080018861256</v>
          </cell>
        </row>
      </sheetData>
      <sheetData sheetId="54">
        <row r="8">
          <cell r="B8">
            <v>47.78629745229469</v>
          </cell>
          <cell r="C8">
            <v>175.61700439314447</v>
          </cell>
          <cell r="D8">
            <v>7.9213098417556198</v>
          </cell>
        </row>
        <row r="9">
          <cell r="C9">
            <v>139.82360140991062</v>
          </cell>
        </row>
        <row r="10">
          <cell r="C10">
            <v>29.01022450110289</v>
          </cell>
          <cell r="D10">
            <v>0.63578938427164</v>
          </cell>
        </row>
        <row r="12">
          <cell r="C12" t="str">
            <v>NO</v>
          </cell>
          <cell r="D12">
            <v>7.22118397757857</v>
          </cell>
        </row>
        <row r="21">
          <cell r="C21">
            <v>0.13221087587131</v>
          </cell>
          <cell r="D21">
            <v>0.15758018335276</v>
          </cell>
        </row>
        <row r="22">
          <cell r="C22">
            <v>5.3742973043739997E-2</v>
          </cell>
          <cell r="D22">
            <v>8.7459320165060001E-2</v>
          </cell>
        </row>
      </sheetData>
      <sheetData sheetId="55"/>
      <sheetData sheetId="56">
        <row r="7">
          <cell r="C7">
            <v>9221.1098130981554</v>
          </cell>
          <cell r="D7">
            <v>3548.5845620654286</v>
          </cell>
          <cell r="J7">
            <v>60992.883943518791</v>
          </cell>
        </row>
        <row r="28">
          <cell r="C28">
            <v>4390.4251098286122</v>
          </cell>
          <cell r="D28">
            <v>2360.5503328431746</v>
          </cell>
          <cell r="J28">
            <v>6798.7617401240814</v>
          </cell>
        </row>
        <row r="29">
          <cell r="C29">
            <v>3495.5900352477656</v>
          </cell>
          <cell r="J29">
            <v>3495.5900352477656</v>
          </cell>
        </row>
        <row r="30">
          <cell r="C30">
            <v>725.25561252757223</v>
          </cell>
          <cell r="D30">
            <v>189.46523651294871</v>
          </cell>
          <cell r="J30">
            <v>914.72084904052099</v>
          </cell>
        </row>
        <row r="32">
          <cell r="D32">
            <v>2151.912825318414</v>
          </cell>
          <cell r="J32">
            <v>2151.912825318414</v>
          </cell>
        </row>
        <row r="41">
          <cell r="C41">
            <v>3.3052718967827501</v>
          </cell>
          <cell r="D41">
            <v>46.958894639122477</v>
          </cell>
          <cell r="J41">
            <v>590.53263951615338</v>
          </cell>
        </row>
        <row r="42">
          <cell r="C42">
            <v>1.3435743260935</v>
          </cell>
          <cell r="D42">
            <v>26.06287740918788</v>
          </cell>
          <cell r="J42">
            <v>91.627234493691631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C7">
            <v>2.2048720297344002</v>
          </cell>
        </row>
        <row r="9">
          <cell r="C9" t="str">
            <v>NO</v>
          </cell>
          <cell r="D9" t="str">
            <v>NO</v>
          </cell>
        </row>
        <row r="10">
          <cell r="C10">
            <v>10.574824442694821</v>
          </cell>
          <cell r="D10">
            <v>0.32311963574900998</v>
          </cell>
        </row>
        <row r="11">
          <cell r="B11">
            <v>42.787543333333332</v>
          </cell>
        </row>
        <row r="12">
          <cell r="B12">
            <v>82.629885130434801</v>
          </cell>
        </row>
        <row r="13">
          <cell r="B13" t="str">
            <v>NA</v>
          </cell>
        </row>
        <row r="14">
          <cell r="B14" t="str">
            <v>NO</v>
          </cell>
          <cell r="C14" t="str">
            <v>NO</v>
          </cell>
          <cell r="D14" t="str">
            <v>NO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7">
          <cell r="C17">
            <v>6387</v>
          </cell>
          <cell r="E17">
            <v>8.0293714285709999E-2</v>
          </cell>
        </row>
      </sheetData>
      <sheetData sheetId="30"/>
      <sheetData sheetId="31"/>
      <sheetData sheetId="32"/>
      <sheetData sheetId="33">
        <row r="8">
          <cell r="C8">
            <v>8.484881625E-2</v>
          </cell>
        </row>
        <row r="11">
          <cell r="B11">
            <v>-2424.7595827630112</v>
          </cell>
        </row>
        <row r="14">
          <cell r="B14">
            <v>145.61176989208948</v>
          </cell>
        </row>
      </sheetData>
      <sheetData sheetId="34">
        <row r="17">
          <cell r="L17">
            <v>23839.02</v>
          </cell>
        </row>
      </sheetData>
      <sheetData sheetId="35">
        <row r="10">
          <cell r="C10">
            <v>6929.0474480000003</v>
          </cell>
        </row>
      </sheetData>
      <sheetData sheetId="36">
        <row r="10">
          <cell r="C10">
            <v>8565.811349816111</v>
          </cell>
          <cell r="D10">
            <v>8559.4243498161104</v>
          </cell>
          <cell r="E10">
            <v>6.3869999999999996</v>
          </cell>
          <cell r="P10">
            <v>405.96918935104134</v>
          </cell>
          <cell r="Q10">
            <v>-31.934999999999999</v>
          </cell>
        </row>
      </sheetData>
      <sheetData sheetId="37">
        <row r="10">
          <cell r="C10">
            <v>5023.2061340518621</v>
          </cell>
          <cell r="D10">
            <v>5018.1701340518621</v>
          </cell>
          <cell r="E10">
            <v>5.0359999999999996</v>
          </cell>
          <cell r="P10">
            <v>35.127158990321981</v>
          </cell>
          <cell r="Q10">
            <v>1.2589999999999999</v>
          </cell>
        </row>
      </sheetData>
      <sheetData sheetId="38">
        <row r="10">
          <cell r="C10">
            <v>1152.0379150121405</v>
          </cell>
        </row>
      </sheetData>
      <sheetData sheetId="39">
        <row r="10">
          <cell r="C10">
            <v>1749.5986630256832</v>
          </cell>
        </row>
      </sheetData>
      <sheetData sheetId="40">
        <row r="10">
          <cell r="C10">
            <v>419.320490101144</v>
          </cell>
        </row>
      </sheetData>
      <sheetData sheetId="41"/>
      <sheetData sheetId="42">
        <row r="10">
          <cell r="H10">
            <v>2.4005708571399999E-3</v>
          </cell>
        </row>
        <row r="18">
          <cell r="I18" t="str">
            <v>NO</v>
          </cell>
        </row>
        <row r="22">
          <cell r="C22" t="str">
            <v>NO</v>
          </cell>
          <cell r="G22" t="str">
            <v>NO</v>
          </cell>
          <cell r="H22" t="str">
            <v>NO</v>
          </cell>
          <cell r="I22" t="str">
            <v>NO</v>
          </cell>
        </row>
        <row r="26">
          <cell r="I26" t="str">
            <v>NO</v>
          </cell>
        </row>
        <row r="30">
          <cell r="C30" t="str">
            <v>NO</v>
          </cell>
          <cell r="G30" t="str">
            <v>NO</v>
          </cell>
          <cell r="H30" t="str">
            <v>NO</v>
          </cell>
          <cell r="I30" t="str">
            <v>NO</v>
          </cell>
        </row>
      </sheetData>
      <sheetData sheetId="43">
        <row r="10">
          <cell r="B10" t="str">
            <v>NO</v>
          </cell>
        </row>
        <row r="13">
          <cell r="B13">
            <v>950.28779927849723</v>
          </cell>
          <cell r="D13">
            <v>1.44616489714286</v>
          </cell>
        </row>
        <row r="20">
          <cell r="B20">
            <v>83.337327094179358</v>
          </cell>
          <cell r="D20">
            <v>0.13</v>
          </cell>
        </row>
      </sheetData>
      <sheetData sheetId="44">
        <row r="9">
          <cell r="E9" t="str">
            <v>IE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7">
          <cell r="B7">
            <v>50658.316331525471</v>
          </cell>
          <cell r="C7">
            <v>1127.4299024431666</v>
          </cell>
          <cell r="D7">
            <v>35.068335253514952</v>
          </cell>
        </row>
      </sheetData>
      <sheetData sheetId="54">
        <row r="8">
          <cell r="B8">
            <v>125.41742846376813</v>
          </cell>
          <cell r="C8">
            <v>501.61407072936078</v>
          </cell>
          <cell r="D8">
            <v>24.12168341533723</v>
          </cell>
        </row>
        <row r="9">
          <cell r="C9">
            <v>433.67517766036815</v>
          </cell>
        </row>
        <row r="10">
          <cell r="C10">
            <v>55.159196596563433</v>
          </cell>
          <cell r="D10">
            <v>2.0101628454032499</v>
          </cell>
        </row>
        <row r="12">
          <cell r="C12" t="str">
            <v>NE</v>
          </cell>
          <cell r="D12">
            <v>21.78840093418497</v>
          </cell>
        </row>
        <row r="21">
          <cell r="C21" t="str">
            <v>NO,IE</v>
          </cell>
          <cell r="D21">
            <v>1.44616489714286</v>
          </cell>
        </row>
        <row r="22">
          <cell r="C22" t="str">
            <v>NO</v>
          </cell>
          <cell r="D22">
            <v>0.13</v>
          </cell>
        </row>
      </sheetData>
      <sheetData sheetId="55"/>
      <sheetData sheetId="56">
        <row r="7">
          <cell r="C7">
            <v>28185.747561079163</v>
          </cell>
          <cell r="D7">
            <v>10450.363905547456</v>
          </cell>
          <cell r="J7">
            <v>91656.489415558128</v>
          </cell>
        </row>
        <row r="28">
          <cell r="C28">
            <v>12540.351768234019</v>
          </cell>
          <cell r="D28">
            <v>7188.2616577704948</v>
          </cell>
          <cell r="J28">
            <v>19854.030854468281</v>
          </cell>
        </row>
        <row r="29">
          <cell r="C29">
            <v>10841.879441509203</v>
          </cell>
          <cell r="J29">
            <v>10841.879441509203</v>
          </cell>
        </row>
        <row r="30">
          <cell r="C30">
            <v>1378.9799149140858</v>
          </cell>
          <cell r="D30">
            <v>599.02852793016848</v>
          </cell>
          <cell r="J30">
            <v>1978.0084428442542</v>
          </cell>
        </row>
        <row r="32">
          <cell r="D32">
            <v>6492.9434783871211</v>
          </cell>
          <cell r="J32">
            <v>6492.9434783871211</v>
          </cell>
        </row>
        <row r="41">
          <cell r="C41" t="str">
            <v>NO,IE</v>
          </cell>
          <cell r="D41">
            <v>430.9571393485723</v>
          </cell>
          <cell r="J41">
            <v>-1993.8024434144388</v>
          </cell>
        </row>
        <row r="42">
          <cell r="C42" t="str">
            <v>NO</v>
          </cell>
          <cell r="D42">
            <v>38.74</v>
          </cell>
          <cell r="J42">
            <v>184.35176989208949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7">
          <cell r="C7">
            <v>3.9641216825800099</v>
          </cell>
        </row>
        <row r="9">
          <cell r="C9" t="str">
            <v>NO</v>
          </cell>
          <cell r="D9" t="str">
            <v>NO</v>
          </cell>
        </row>
        <row r="10">
          <cell r="C10">
            <v>1.1087574345170399</v>
          </cell>
          <cell r="D10">
            <v>2.6418683464450001E-2</v>
          </cell>
        </row>
        <row r="11">
          <cell r="B11" t="str">
            <v>NO</v>
          </cell>
        </row>
        <row r="12">
          <cell r="B12">
            <v>33.738829697464617</v>
          </cell>
        </row>
        <row r="13">
          <cell r="B13" t="str">
            <v>NO</v>
          </cell>
        </row>
        <row r="14">
          <cell r="B14" t="str">
            <v/>
          </cell>
          <cell r="C14" t="str">
            <v/>
          </cell>
          <cell r="D14" t="str">
            <v/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7">
          <cell r="C17">
            <v>41267.199999999997</v>
          </cell>
          <cell r="E17">
            <v>0.51878765714286001</v>
          </cell>
        </row>
      </sheetData>
      <sheetData sheetId="30" refreshError="1"/>
      <sheetData sheetId="31" refreshError="1"/>
      <sheetData sheetId="32" refreshError="1"/>
      <sheetData sheetId="33">
        <row r="8">
          <cell r="C8">
            <v>0.13522548600000001</v>
          </cell>
        </row>
        <row r="11">
          <cell r="B11">
            <v>586.11736853047387</v>
          </cell>
        </row>
        <row r="14">
          <cell r="B14">
            <v>-1666.5715681234362</v>
          </cell>
        </row>
      </sheetData>
      <sheetData sheetId="34">
        <row r="17">
          <cell r="L17">
            <v>11100.19</v>
          </cell>
        </row>
      </sheetData>
      <sheetData sheetId="35">
        <row r="10">
          <cell r="C10">
            <v>3922.545000000001</v>
          </cell>
        </row>
      </sheetData>
      <sheetData sheetId="36">
        <row r="10">
          <cell r="C10">
            <v>3676.2135757329602</v>
          </cell>
          <cell r="D10">
            <v>3676.2135757329602</v>
          </cell>
          <cell r="E10" t="str">
            <v>NO</v>
          </cell>
          <cell r="P10">
            <v>-148.7381816094497</v>
          </cell>
          <cell r="Q10" t="str">
            <v>NO</v>
          </cell>
        </row>
      </sheetData>
      <sheetData sheetId="37">
        <row r="10">
          <cell r="C10">
            <v>2555.2583278114844</v>
          </cell>
          <cell r="D10">
            <v>2555.2583278114844</v>
          </cell>
          <cell r="E10" t="str">
            <v>NO</v>
          </cell>
          <cell r="P10">
            <v>416.71241684028257</v>
          </cell>
          <cell r="Q10" t="str">
            <v>NO</v>
          </cell>
        </row>
      </sheetData>
      <sheetData sheetId="38">
        <row r="10">
          <cell r="C10">
            <v>231.78244700000022</v>
          </cell>
        </row>
      </sheetData>
      <sheetData sheetId="39">
        <row r="10">
          <cell r="C10">
            <v>533.7116494555554</v>
          </cell>
        </row>
      </sheetData>
      <sheetData sheetId="40">
        <row r="10">
          <cell r="C10">
            <v>180.67899999999918</v>
          </cell>
        </row>
      </sheetData>
      <sheetData sheetId="41" refreshError="1"/>
      <sheetData sheetId="42">
        <row r="10">
          <cell r="H10" t="str">
            <v>NO</v>
          </cell>
        </row>
        <row r="18">
          <cell r="I18" t="str">
            <v>NO</v>
          </cell>
        </row>
        <row r="22">
          <cell r="C22" t="str">
            <v>NO</v>
          </cell>
          <cell r="G22" t="str">
            <v>NO</v>
          </cell>
          <cell r="H22" t="str">
            <v>NO</v>
          </cell>
          <cell r="I22" t="str">
            <v>NO</v>
          </cell>
        </row>
        <row r="26">
          <cell r="I26" t="str">
            <v>NO</v>
          </cell>
        </row>
        <row r="30">
          <cell r="C30" t="str">
            <v>NO</v>
          </cell>
          <cell r="G30" t="str">
            <v>NO</v>
          </cell>
          <cell r="H30" t="str">
            <v>NO</v>
          </cell>
          <cell r="I30" t="str">
            <v>NO</v>
          </cell>
        </row>
      </sheetData>
      <sheetData sheetId="43">
        <row r="10">
          <cell r="B10">
            <v>236.87683613670387</v>
          </cell>
        </row>
        <row r="15">
          <cell r="B15">
            <v>339.26258520393162</v>
          </cell>
          <cell r="D15">
            <v>0.47398572713531001</v>
          </cell>
        </row>
        <row r="18">
          <cell r="B18">
            <v>92.970563999999996</v>
          </cell>
          <cell r="D18">
            <v>0.19310516904798</v>
          </cell>
        </row>
      </sheetData>
      <sheetData sheetId="44">
        <row r="9">
          <cell r="E9">
            <v>0.3047312941334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7">
          <cell r="B7">
            <v>34590.96964515638</v>
          </cell>
          <cell r="C7">
            <v>270.28184234552543</v>
          </cell>
          <cell r="D7">
            <v>19.249752686255519</v>
          </cell>
        </row>
      </sheetData>
      <sheetData sheetId="54">
        <row r="8">
          <cell r="B8">
            <v>33.738829697464617</v>
          </cell>
          <cell r="C8">
            <v>69.473697177993117</v>
          </cell>
          <cell r="D8">
            <v>15.58760099557604</v>
          </cell>
        </row>
        <row r="9">
          <cell r="C9">
            <v>59.607669346328407</v>
          </cell>
        </row>
        <row r="10">
          <cell r="C10">
            <v>4.7931487145676499</v>
          </cell>
          <cell r="D10">
            <v>1.5899956589227</v>
          </cell>
        </row>
        <row r="12">
          <cell r="C12" t="str">
            <v>NO</v>
          </cell>
          <cell r="D12">
            <v>13.971186653188891</v>
          </cell>
        </row>
        <row r="21">
          <cell r="C21" t="str">
            <v>NO</v>
          </cell>
          <cell r="D21">
            <v>0.47398572713531001</v>
          </cell>
        </row>
        <row r="22">
          <cell r="C22" t="str">
            <v>NO</v>
          </cell>
          <cell r="D22">
            <v>0.19310516904798</v>
          </cell>
        </row>
      </sheetData>
      <sheetData sheetId="55" refreshError="1"/>
      <sheetData sheetId="56">
        <row r="7">
          <cell r="C7">
            <v>6757.0460586381359</v>
          </cell>
          <cell r="D7">
            <v>5736.4263005041448</v>
          </cell>
          <cell r="J7">
            <v>49354.97857592591</v>
          </cell>
        </row>
        <row r="28">
          <cell r="C28">
            <v>1736.8424294498277</v>
          </cell>
          <cell r="D28">
            <v>4645.1050966816601</v>
          </cell>
          <cell r="J28">
            <v>6415.6863558289524</v>
          </cell>
        </row>
        <row r="29">
          <cell r="C29">
            <v>1490.1917336582103</v>
          </cell>
          <cell r="J29">
            <v>1490.1917336582103</v>
          </cell>
        </row>
        <row r="30">
          <cell r="C30">
            <v>119.82871786419125</v>
          </cell>
          <cell r="D30">
            <v>473.81870635896462</v>
          </cell>
          <cell r="J30">
            <v>593.64742422315589</v>
          </cell>
        </row>
        <row r="32">
          <cell r="D32">
            <v>4163.4136226502897</v>
          </cell>
          <cell r="J32">
            <v>4163.4136226502897</v>
          </cell>
        </row>
        <row r="41">
          <cell r="C41" t="str">
            <v>NO</v>
          </cell>
          <cell r="D41">
            <v>141.24774668632239</v>
          </cell>
          <cell r="J41">
            <v>727.3651152167962</v>
          </cell>
        </row>
        <row r="42">
          <cell r="C42" t="str">
            <v>NO</v>
          </cell>
          <cell r="D42">
            <v>57.545340376298043</v>
          </cell>
          <cell r="J42">
            <v>-1609.0262277471384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C7" t="str">
            <v>NO</v>
          </cell>
        </row>
        <row r="9">
          <cell r="C9" t="str">
            <v>NO</v>
          </cell>
          <cell r="D9" t="str">
            <v>NO</v>
          </cell>
        </row>
        <row r="10">
          <cell r="C10" t="str">
            <v>NO</v>
          </cell>
          <cell r="D10" t="str">
            <v>NO</v>
          </cell>
        </row>
        <row r="11">
          <cell r="B11">
            <v>13.45628827721948</v>
          </cell>
        </row>
        <row r="12">
          <cell r="B12">
            <v>65.966242661333808</v>
          </cell>
        </row>
        <row r="13">
          <cell r="B13" t="str">
            <v>NO</v>
          </cell>
        </row>
        <row r="14">
          <cell r="B14" t="str">
            <v>NO</v>
          </cell>
          <cell r="C14" t="str">
            <v>NO</v>
          </cell>
          <cell r="D14" t="str">
            <v>NO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7">
          <cell r="C17" t="str">
            <v>NE</v>
          </cell>
          <cell r="E17" t="str">
            <v>NE</v>
          </cell>
        </row>
      </sheetData>
      <sheetData sheetId="30"/>
      <sheetData sheetId="31"/>
      <sheetData sheetId="32"/>
      <sheetData sheetId="33">
        <row r="8">
          <cell r="C8">
            <v>0.83687392580372999</v>
          </cell>
        </row>
        <row r="11">
          <cell r="B11">
            <v>-1147.952276736321</v>
          </cell>
        </row>
        <row r="14">
          <cell r="B14">
            <v>-115.27536533333344</v>
          </cell>
        </row>
      </sheetData>
      <sheetData sheetId="34">
        <row r="17">
          <cell r="L17">
            <v>4903.5200000000004</v>
          </cell>
        </row>
      </sheetData>
      <sheetData sheetId="35">
        <row r="10">
          <cell r="C10">
            <v>2026.027</v>
          </cell>
        </row>
      </sheetData>
      <sheetData sheetId="36">
        <row r="10">
          <cell r="C10">
            <v>1527.4190000000001</v>
          </cell>
          <cell r="D10">
            <v>1527.4190000000001</v>
          </cell>
          <cell r="E10" t="str">
            <v>NO</v>
          </cell>
          <cell r="P10">
            <v>6.3094776553599798</v>
          </cell>
          <cell r="Q10" t="str">
            <v>NO</v>
          </cell>
        </row>
      </sheetData>
      <sheetData sheetId="37">
        <row r="10">
          <cell r="C10">
            <v>851.68500000000006</v>
          </cell>
          <cell r="D10">
            <v>851.68500000000006</v>
          </cell>
          <cell r="E10" t="str">
            <v>NO</v>
          </cell>
          <cell r="P10">
            <v>42.388044000000001</v>
          </cell>
          <cell r="Q10" t="str">
            <v>NO</v>
          </cell>
        </row>
      </sheetData>
      <sheetData sheetId="38">
        <row r="10">
          <cell r="C10">
            <v>94</v>
          </cell>
        </row>
      </sheetData>
      <sheetData sheetId="39">
        <row r="10">
          <cell r="C10">
            <v>237.88900000000001</v>
          </cell>
        </row>
      </sheetData>
      <sheetData sheetId="40">
        <row r="10">
          <cell r="C10">
            <v>166.50299999999999</v>
          </cell>
        </row>
      </sheetData>
      <sheetData sheetId="41"/>
      <sheetData sheetId="42">
        <row r="10">
          <cell r="H10" t="str">
            <v>NO</v>
          </cell>
        </row>
        <row r="18">
          <cell r="I18" t="str">
            <v>NO</v>
          </cell>
        </row>
        <row r="22">
          <cell r="C22" t="str">
            <v>NO</v>
          </cell>
          <cell r="G22" t="str">
            <v>NO</v>
          </cell>
          <cell r="H22" t="str">
            <v>NO</v>
          </cell>
          <cell r="I22" t="str">
            <v>NO</v>
          </cell>
        </row>
        <row r="26">
          <cell r="I26" t="str">
            <v>NO</v>
          </cell>
        </row>
        <row r="30">
          <cell r="C30" t="str">
            <v>NO</v>
          </cell>
          <cell r="G30" t="str">
            <v>NO</v>
          </cell>
          <cell r="H30" t="str">
            <v>NO</v>
          </cell>
          <cell r="I30" t="str">
            <v>NO</v>
          </cell>
        </row>
      </sheetData>
      <sheetData sheetId="43">
        <row r="10">
          <cell r="B10" t="str">
            <v>NO</v>
          </cell>
        </row>
        <row r="13">
          <cell r="B13">
            <v>22.61</v>
          </cell>
          <cell r="D13">
            <v>2.7717557738100002E-2</v>
          </cell>
        </row>
        <row r="15">
          <cell r="B15">
            <v>1.4790000000000001</v>
          </cell>
          <cell r="D15">
            <v>1.0907977142900001E-3</v>
          </cell>
        </row>
      </sheetData>
      <sheetData sheetId="44">
        <row r="9">
          <cell r="E9">
            <v>1.7237105208330002E-2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7">
          <cell r="B7">
            <v>30359.358953846422</v>
          </cell>
          <cell r="C7">
            <v>178.5181346851063</v>
          </cell>
          <cell r="D7">
            <v>7.1668390052980602</v>
          </cell>
        </row>
      </sheetData>
      <sheetData sheetId="54">
        <row r="8">
          <cell r="B8">
            <v>79.422530938553294</v>
          </cell>
          <cell r="C8">
            <v>44.067665419278747</v>
          </cell>
          <cell r="D8">
            <v>5.2489015204746101</v>
          </cell>
        </row>
        <row r="9">
          <cell r="C9">
            <v>39.785842461038058</v>
          </cell>
        </row>
        <row r="10">
          <cell r="C10">
            <v>4.2818229582406904</v>
          </cell>
          <cell r="D10">
            <v>0.57474132006375001</v>
          </cell>
        </row>
        <row r="12">
          <cell r="C12" t="str">
            <v>NO</v>
          </cell>
          <cell r="D12">
            <v>4.67416020041086</v>
          </cell>
        </row>
        <row r="21">
          <cell r="C21" t="str">
            <v>NO</v>
          </cell>
          <cell r="D21">
            <v>2.7717557738100002E-2</v>
          </cell>
        </row>
        <row r="22">
          <cell r="C22" t="str">
            <v>NO</v>
          </cell>
          <cell r="D22">
            <v>1.0907977142900001E-3</v>
          </cell>
        </row>
      </sheetData>
      <sheetData sheetId="55"/>
      <sheetData sheetId="56">
        <row r="7">
          <cell r="C7">
            <v>4462.9533671276577</v>
          </cell>
          <cell r="D7">
            <v>2135.7180235788219</v>
          </cell>
          <cell r="J7">
            <v>37677.973753612801</v>
          </cell>
        </row>
        <row r="28">
          <cell r="C28">
            <v>1101.6916354819687</v>
          </cell>
          <cell r="D28">
            <v>1564.1726531014338</v>
          </cell>
          <cell r="J28">
            <v>2745.2868195219557</v>
          </cell>
        </row>
        <row r="29">
          <cell r="C29">
            <v>994.6460615259515</v>
          </cell>
          <cell r="J29">
            <v>994.6460615259515</v>
          </cell>
        </row>
        <row r="30">
          <cell r="C30">
            <v>107.04557395601725</v>
          </cell>
          <cell r="D30">
            <v>171.27291337899749</v>
          </cell>
          <cell r="J30">
            <v>278.31848733501477</v>
          </cell>
        </row>
        <row r="32">
          <cell r="D32">
            <v>1392.8997397224364</v>
          </cell>
          <cell r="J32">
            <v>1392.8997397224364</v>
          </cell>
        </row>
        <row r="41">
          <cell r="C41" t="str">
            <v>NO</v>
          </cell>
          <cell r="D41">
            <v>8.2598322059537992</v>
          </cell>
          <cell r="J41">
            <v>-1139.6924445303673</v>
          </cell>
        </row>
        <row r="42">
          <cell r="C42" t="str">
            <v>NO</v>
          </cell>
          <cell r="D42">
            <v>0.32505771885842</v>
          </cell>
          <cell r="J42">
            <v>-114.95030761447502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C7" t="str">
            <v>NO</v>
          </cell>
        </row>
        <row r="9">
          <cell r="C9" t="str">
            <v>NO</v>
          </cell>
          <cell r="D9" t="str">
            <v>NO</v>
          </cell>
        </row>
        <row r="10">
          <cell r="C10" t="str">
            <v>NO</v>
          </cell>
          <cell r="D10" t="str">
            <v>NO</v>
          </cell>
        </row>
        <row r="11">
          <cell r="B11">
            <v>11.544288079996489</v>
          </cell>
        </row>
        <row r="12">
          <cell r="B12">
            <v>10.516</v>
          </cell>
        </row>
        <row r="13">
          <cell r="B13" t="str">
            <v>NO</v>
          </cell>
        </row>
        <row r="14">
          <cell r="B14" t="str">
            <v>NO</v>
          </cell>
          <cell r="C14" t="str">
            <v>NO</v>
          </cell>
          <cell r="D14" t="str">
            <v>NO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7">
          <cell r="C17">
            <v>2488.9375</v>
          </cell>
          <cell r="E17">
            <v>3.1289499999999998E-2</v>
          </cell>
        </row>
      </sheetData>
      <sheetData sheetId="30"/>
      <sheetData sheetId="31"/>
      <sheetData sheetId="32"/>
      <sheetData sheetId="33">
        <row r="8">
          <cell r="C8">
            <v>3.1477295723400002E-3</v>
          </cell>
        </row>
        <row r="11">
          <cell r="B11">
            <v>-143.12370290025802</v>
          </cell>
        </row>
        <row r="14">
          <cell r="B14">
            <v>-398.16453949447708</v>
          </cell>
        </row>
      </sheetData>
      <sheetData sheetId="34">
        <row r="17">
          <cell r="L17">
            <v>2027.2999999999997</v>
          </cell>
        </row>
      </sheetData>
      <sheetData sheetId="35">
        <row r="10">
          <cell r="C10">
            <v>1208.01</v>
          </cell>
        </row>
      </sheetData>
      <sheetData sheetId="36">
        <row r="10">
          <cell r="C10">
            <v>245.8</v>
          </cell>
          <cell r="D10">
            <v>243.31106249999999</v>
          </cell>
          <cell r="E10">
            <v>2.4889375</v>
          </cell>
          <cell r="P10">
            <v>-11.14251293714285</v>
          </cell>
          <cell r="Q10">
            <v>-24.889375000000001</v>
          </cell>
        </row>
      </sheetData>
      <sheetData sheetId="37">
        <row r="10">
          <cell r="C10">
            <v>410.62000000000006</v>
          </cell>
          <cell r="D10">
            <v>409.52618750000005</v>
          </cell>
          <cell r="E10">
            <v>1.0938125000000001</v>
          </cell>
          <cell r="P10">
            <v>38.041336874936789</v>
          </cell>
          <cell r="Q10" t="str">
            <v>NO</v>
          </cell>
        </row>
      </sheetData>
      <sheetData sheetId="38">
        <row r="10">
          <cell r="C10">
            <v>14.35</v>
          </cell>
        </row>
      </sheetData>
      <sheetData sheetId="39">
        <row r="10">
          <cell r="C10">
            <v>116.37</v>
          </cell>
        </row>
      </sheetData>
      <sheetData sheetId="40">
        <row r="10">
          <cell r="C10">
            <v>32.15</v>
          </cell>
        </row>
      </sheetData>
      <sheetData sheetId="41"/>
      <sheetData sheetId="42">
        <row r="10">
          <cell r="H10" t="str">
            <v>NO</v>
          </cell>
        </row>
        <row r="18">
          <cell r="I18" t="str">
            <v>NO</v>
          </cell>
        </row>
        <row r="22">
          <cell r="C22" t="str">
            <v>NO</v>
          </cell>
          <cell r="G22" t="str">
            <v>NO</v>
          </cell>
          <cell r="H22" t="str">
            <v>NO</v>
          </cell>
          <cell r="I22" t="str">
            <v>NO</v>
          </cell>
        </row>
        <row r="26">
          <cell r="I26" t="str">
            <v>NO</v>
          </cell>
        </row>
        <row r="30">
          <cell r="C30" t="str">
            <v>NO</v>
          </cell>
          <cell r="G30" t="str">
            <v>NO</v>
          </cell>
          <cell r="H30" t="str">
            <v>NO</v>
          </cell>
          <cell r="I30" t="str">
            <v>NO</v>
          </cell>
        </row>
      </sheetData>
      <sheetData sheetId="43">
        <row r="10">
          <cell r="B10" t="str">
            <v>NO</v>
          </cell>
        </row>
        <row r="13">
          <cell r="B13">
            <v>23.553257142857142</v>
          </cell>
          <cell r="D13">
            <v>1.3485532043539999E-2</v>
          </cell>
        </row>
        <row r="17">
          <cell r="B17">
            <v>15.587428571428569</v>
          </cell>
          <cell r="D17">
            <v>3.9332722449000003E-3</v>
          </cell>
        </row>
      </sheetData>
      <sheetData sheetId="44">
        <row r="9">
          <cell r="E9">
            <v>1.5882980272030001E-2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7">
          <cell r="B7">
            <v>14701.122339392403</v>
          </cell>
          <cell r="C7">
            <v>77.449409345808434</v>
          </cell>
          <cell r="D7">
            <v>2.6284224785453598</v>
          </cell>
        </row>
      </sheetData>
      <sheetData sheetId="54">
        <row r="8">
          <cell r="B8">
            <v>22.060288079996489</v>
          </cell>
          <cell r="C8">
            <v>47.203482327086242</v>
          </cell>
          <cell r="D8">
            <v>1.74350470430529</v>
          </cell>
        </row>
        <row r="9">
          <cell r="C9">
            <v>37.09795211119215</v>
          </cell>
        </row>
        <row r="10">
          <cell r="C10">
            <v>10.10553021589409</v>
          </cell>
          <cell r="D10">
            <v>0.27285728795602998</v>
          </cell>
        </row>
        <row r="12">
          <cell r="C12" t="str">
            <v>NO</v>
          </cell>
          <cell r="D12">
            <v>1.47064741634926</v>
          </cell>
        </row>
        <row r="21">
          <cell r="C21" t="str">
            <v>NO</v>
          </cell>
          <cell r="D21">
            <v>1.3485532043539999E-2</v>
          </cell>
        </row>
        <row r="22">
          <cell r="C22" t="str">
            <v>NO</v>
          </cell>
          <cell r="D22">
            <v>3.9332722449000003E-3</v>
          </cell>
        </row>
      </sheetData>
      <sheetData sheetId="55"/>
      <sheetData sheetId="56">
        <row r="7">
          <cell r="C7">
            <v>1936.2352336452111</v>
          </cell>
          <cell r="D7">
            <v>783.26989860651724</v>
          </cell>
          <cell r="J7">
            <v>17745.281429136656</v>
          </cell>
        </row>
        <row r="28">
          <cell r="C28">
            <v>1180.087058177156</v>
          </cell>
          <cell r="D28">
            <v>519.56440188297643</v>
          </cell>
          <cell r="J28">
            <v>1721.711748140129</v>
          </cell>
        </row>
        <row r="29">
          <cell r="C29">
            <v>927.44880277980371</v>
          </cell>
          <cell r="J29">
            <v>927.44880277980371</v>
          </cell>
        </row>
        <row r="30">
          <cell r="C30">
            <v>252.63825539735225</v>
          </cell>
          <cell r="D30">
            <v>81.311471810896947</v>
          </cell>
          <cell r="J30">
            <v>333.94972720824921</v>
          </cell>
        </row>
        <row r="32">
          <cell r="D32">
            <v>438.25293007207949</v>
          </cell>
          <cell r="J32">
            <v>438.25293007207949</v>
          </cell>
        </row>
        <row r="41">
          <cell r="C41" t="str">
            <v>NO</v>
          </cell>
          <cell r="D41">
            <v>4.0186885489749198</v>
          </cell>
          <cell r="J41">
            <v>-139.1050143512831</v>
          </cell>
        </row>
        <row r="42">
          <cell r="C42" t="str">
            <v>NO</v>
          </cell>
          <cell r="D42">
            <v>1.1721151289802001</v>
          </cell>
          <cell r="J42">
            <v>-396.99242436549684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7">
          <cell r="C7" t="str">
            <v>NO</v>
          </cell>
        </row>
        <row r="9">
          <cell r="C9" t="str">
            <v>NO</v>
          </cell>
          <cell r="D9" t="str">
            <v>NO</v>
          </cell>
        </row>
        <row r="10">
          <cell r="C10" t="str">
            <v>NO</v>
          </cell>
          <cell r="D10" t="str">
            <v>NO</v>
          </cell>
        </row>
        <row r="11">
          <cell r="B11">
            <v>126.70115333333329</v>
          </cell>
        </row>
        <row r="12">
          <cell r="B12">
            <v>1.84768115942029</v>
          </cell>
        </row>
        <row r="13">
          <cell r="B13" t="str">
            <v>NO</v>
          </cell>
        </row>
        <row r="14">
          <cell r="B14" t="str">
            <v/>
          </cell>
          <cell r="C14" t="str">
            <v/>
          </cell>
          <cell r="D14" t="str">
            <v/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7">
          <cell r="C17">
            <v>135992</v>
          </cell>
          <cell r="E17">
            <v>2.77812228571428</v>
          </cell>
        </row>
      </sheetData>
      <sheetData sheetId="30" refreshError="1"/>
      <sheetData sheetId="31" refreshError="1"/>
      <sheetData sheetId="32" refreshError="1"/>
      <sheetData sheetId="33">
        <row r="8">
          <cell r="C8">
            <v>11.114096999999999</v>
          </cell>
        </row>
        <row r="11">
          <cell r="B11">
            <v>3833.6308560000034</v>
          </cell>
        </row>
        <row r="14">
          <cell r="B14">
            <v>-125.60126333333343</v>
          </cell>
        </row>
      </sheetData>
      <sheetData sheetId="34">
        <row r="17">
          <cell r="L17">
            <v>45129.305858</v>
          </cell>
        </row>
      </sheetData>
      <sheetData sheetId="35">
        <row r="10">
          <cell r="C10">
            <v>28197.586229519999</v>
          </cell>
        </row>
      </sheetData>
      <sheetData sheetId="36">
        <row r="10">
          <cell r="C10">
            <v>2785.3998470000001</v>
          </cell>
          <cell r="D10">
            <v>2648.3870419999998</v>
          </cell>
          <cell r="E10">
            <v>137.01280499999999</v>
          </cell>
          <cell r="P10">
            <v>-251.25294</v>
          </cell>
          <cell r="Q10">
            <v>-836.68601000000001</v>
          </cell>
        </row>
      </sheetData>
      <sheetData sheetId="37">
        <row r="10">
          <cell r="C10">
            <v>521.766254</v>
          </cell>
          <cell r="D10">
            <v>494.04509200000001</v>
          </cell>
          <cell r="E10">
            <v>27.721162</v>
          </cell>
          <cell r="P10">
            <v>-3.2951299999999999</v>
          </cell>
          <cell r="Q10">
            <v>-46.257451000000003</v>
          </cell>
        </row>
      </sheetData>
      <sheetData sheetId="38">
        <row r="10">
          <cell r="C10">
            <v>7385.4123639999998</v>
          </cell>
        </row>
      </sheetData>
      <sheetData sheetId="39">
        <row r="10">
          <cell r="C10">
            <v>1915.0670110000001</v>
          </cell>
        </row>
      </sheetData>
      <sheetData sheetId="40">
        <row r="10">
          <cell r="C10">
            <v>4324.0741483080001</v>
          </cell>
        </row>
      </sheetData>
      <sheetData sheetId="41" refreshError="1"/>
      <sheetData sheetId="42">
        <row r="10">
          <cell r="H10">
            <v>3.5890749999999998</v>
          </cell>
        </row>
        <row r="25">
          <cell r="I25">
            <v>7.9803230000000003</v>
          </cell>
        </row>
        <row r="33">
          <cell r="C33" t="str">
            <v>NO</v>
          </cell>
          <cell r="G33" t="str">
            <v>NO</v>
          </cell>
          <cell r="H33" t="str">
            <v>NO</v>
          </cell>
          <cell r="I33" t="str">
            <v>NO</v>
          </cell>
        </row>
        <row r="40">
          <cell r="I40">
            <v>0.28456700000000001</v>
          </cell>
        </row>
        <row r="48">
          <cell r="C48" t="str">
            <v>NO</v>
          </cell>
          <cell r="G48" t="str">
            <v>NO</v>
          </cell>
          <cell r="H48" t="str">
            <v>NO</v>
          </cell>
          <cell r="I48" t="str">
            <v>NO</v>
          </cell>
        </row>
      </sheetData>
      <sheetData sheetId="43">
        <row r="10">
          <cell r="B10">
            <v>24137.243345999999</v>
          </cell>
        </row>
        <row r="18">
          <cell r="B18">
            <v>48.213270999999999</v>
          </cell>
          <cell r="D18">
            <v>1.298E-2</v>
          </cell>
        </row>
        <row r="25">
          <cell r="B25">
            <v>494.04509200000001</v>
          </cell>
          <cell r="D25">
            <v>1.5571E-2</v>
          </cell>
        </row>
      </sheetData>
      <sheetData sheetId="44">
        <row r="9">
          <cell r="E9">
            <v>3.8089999999999999E-3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7">
          <cell r="B7">
            <v>-1974.2945443399553</v>
          </cell>
          <cell r="C7">
            <v>195.00710765924029</v>
          </cell>
          <cell r="D7">
            <v>19.313834705945951</v>
          </cell>
        </row>
      </sheetData>
      <sheetData sheetId="54">
        <row r="8">
          <cell r="B8">
            <v>128.5488344927536</v>
          </cell>
          <cell r="C8">
            <v>130.79444140592133</v>
          </cell>
          <cell r="D8">
            <v>11.38174343121538</v>
          </cell>
        </row>
        <row r="9">
          <cell r="C9">
            <v>120.27222518438499</v>
          </cell>
        </row>
        <row r="10">
          <cell r="C10">
            <v>10.52221622153634</v>
          </cell>
          <cell r="D10">
            <v>1.11752563002787</v>
          </cell>
        </row>
        <row r="12">
          <cell r="C12" t="str">
            <v>NO</v>
          </cell>
          <cell r="D12">
            <v>10.26421780118751</v>
          </cell>
        </row>
        <row r="21">
          <cell r="C21">
            <v>7.9803230000000003</v>
          </cell>
          <cell r="D21">
            <v>1.298E-2</v>
          </cell>
        </row>
        <row r="22">
          <cell r="C22">
            <v>0.306284</v>
          </cell>
          <cell r="D22">
            <v>1.5720000000000001E-2</v>
          </cell>
        </row>
      </sheetData>
      <sheetData sheetId="55" refreshError="1"/>
      <sheetData sheetId="56">
        <row r="7">
          <cell r="C7">
            <v>4875.1776914810071</v>
          </cell>
          <cell r="D7">
            <v>5755.5227423718934</v>
          </cell>
          <cell r="J7">
            <v>9785.2751621657953</v>
          </cell>
        </row>
        <row r="28">
          <cell r="C28">
            <v>3269.8610351480334</v>
          </cell>
          <cell r="D28">
            <v>3391.7595425021832</v>
          </cell>
          <cell r="J28">
            <v>6790.16941214297</v>
          </cell>
        </row>
        <row r="29">
          <cell r="C29">
            <v>3006.8056296096252</v>
          </cell>
          <cell r="J29">
            <v>3006.8056296096252</v>
          </cell>
        </row>
        <row r="30">
          <cell r="C30">
            <v>263.05540553840848</v>
          </cell>
          <cell r="D30">
            <v>333.02263774830527</v>
          </cell>
          <cell r="J30">
            <v>596.07804328671375</v>
          </cell>
        </row>
        <row r="32">
          <cell r="D32">
            <v>3058.7369047538782</v>
          </cell>
          <cell r="J32">
            <v>3058.7369047538782</v>
          </cell>
        </row>
        <row r="41">
          <cell r="C41">
            <v>199.50807499999999</v>
          </cell>
          <cell r="D41">
            <v>3.8680400000000001</v>
          </cell>
          <cell r="J41">
            <v>4037.0069710000034</v>
          </cell>
        </row>
        <row r="42">
          <cell r="C42">
            <v>7.6570999999999998</v>
          </cell>
          <cell r="D42">
            <v>4.6845600000000003</v>
          </cell>
          <cell r="J42">
            <v>-113.25960333333344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C7" t="str">
            <v>NO</v>
          </cell>
        </row>
        <row r="9">
          <cell r="C9" t="str">
            <v>NO</v>
          </cell>
          <cell r="D9" t="str">
            <v>NO</v>
          </cell>
        </row>
        <row r="10">
          <cell r="C10">
            <v>7.0796441561399998E-3</v>
          </cell>
          <cell r="D10">
            <v>1.8354632997000001E-4</v>
          </cell>
        </row>
        <row r="11">
          <cell r="B11" t="str">
            <v>NO</v>
          </cell>
        </row>
        <row r="12">
          <cell r="B12">
            <v>0.22344666666667001</v>
          </cell>
        </row>
        <row r="13">
          <cell r="B13" t="str">
            <v>NO</v>
          </cell>
        </row>
        <row r="14">
          <cell r="B14" t="str">
            <v>NO</v>
          </cell>
          <cell r="C14" t="str">
            <v>NO</v>
          </cell>
          <cell r="D14" t="str">
            <v>NO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7">
          <cell r="C17" t="str">
            <v>NO</v>
          </cell>
          <cell r="E17" t="str">
            <v>NO</v>
          </cell>
        </row>
      </sheetData>
      <sheetData sheetId="30"/>
      <sheetData sheetId="31"/>
      <sheetData sheetId="32"/>
      <sheetData sheetId="33">
        <row r="8">
          <cell r="C8">
            <v>2.9851566147270001E-2</v>
          </cell>
        </row>
        <row r="11">
          <cell r="B11">
            <v>-153.76966057733981</v>
          </cell>
        </row>
        <row r="14">
          <cell r="B14">
            <v>-124.72203456935446</v>
          </cell>
        </row>
      </sheetData>
      <sheetData sheetId="34">
        <row r="17">
          <cell r="L17">
            <v>924.14460431127986</v>
          </cell>
        </row>
      </sheetData>
      <sheetData sheetId="35">
        <row r="10">
          <cell r="C10">
            <v>163.27728488061598</v>
          </cell>
        </row>
      </sheetData>
      <sheetData sheetId="36">
        <row r="10">
          <cell r="C10">
            <v>246.22358798822009</v>
          </cell>
          <cell r="D10">
            <v>246.22358798822009</v>
          </cell>
          <cell r="E10" t="str">
            <v>NO</v>
          </cell>
          <cell r="P10">
            <v>3.5366807312931199</v>
          </cell>
          <cell r="Q10" t="str">
            <v>NO</v>
          </cell>
        </row>
      </sheetData>
      <sheetData sheetId="37">
        <row r="10">
          <cell r="C10">
            <v>131.17552754540699</v>
          </cell>
          <cell r="D10">
            <v>131.17552754540699</v>
          </cell>
          <cell r="E10" t="str">
            <v>NO</v>
          </cell>
          <cell r="P10">
            <v>0.75580887790007001</v>
          </cell>
          <cell r="Q10" t="str">
            <v>NO</v>
          </cell>
        </row>
      </sheetData>
      <sheetData sheetId="38">
        <row r="10">
          <cell r="C10">
            <v>4.8609075502948702</v>
          </cell>
        </row>
      </sheetData>
      <sheetData sheetId="39">
        <row r="10">
          <cell r="C10">
            <v>70.808815857882223</v>
          </cell>
        </row>
      </sheetData>
      <sheetData sheetId="40">
        <row r="10">
          <cell r="C10">
            <v>3.6321809833194401</v>
          </cell>
        </row>
      </sheetData>
      <sheetData sheetId="41"/>
      <sheetData sheetId="42">
        <row r="10">
          <cell r="H10" t="str">
            <v>NO</v>
          </cell>
        </row>
        <row r="18">
          <cell r="I18" t="str">
            <v/>
          </cell>
        </row>
        <row r="22">
          <cell r="C22" t="str">
            <v/>
          </cell>
          <cell r="G22" t="str">
            <v/>
          </cell>
          <cell r="H22" t="str">
            <v/>
          </cell>
          <cell r="I22" t="str">
            <v/>
          </cell>
        </row>
        <row r="26">
          <cell r="I26" t="str">
            <v>NO</v>
          </cell>
        </row>
        <row r="30">
          <cell r="C30" t="str">
            <v>NE</v>
          </cell>
          <cell r="G30" t="str">
            <v>NE</v>
          </cell>
          <cell r="H30" t="str">
            <v>NE</v>
          </cell>
          <cell r="I30" t="str">
            <v>NE</v>
          </cell>
        </row>
      </sheetData>
      <sheetData sheetId="43">
        <row r="10">
          <cell r="B10" t="str">
            <v>NE</v>
          </cell>
        </row>
        <row r="13">
          <cell r="B13" t="str">
            <v/>
          </cell>
          <cell r="D13" t="str">
            <v/>
          </cell>
        </row>
        <row r="15">
          <cell r="B15" t="str">
            <v>NE</v>
          </cell>
          <cell r="D15" t="str">
            <v>NE</v>
          </cell>
        </row>
      </sheetData>
      <sheetData sheetId="44">
        <row r="9">
          <cell r="E9" t="str">
            <v>NE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7">
          <cell r="B7">
            <v>6932.5370566654174</v>
          </cell>
          <cell r="C7">
            <v>35.411654208666938</v>
          </cell>
          <cell r="D7">
            <v>0.99751773494952001</v>
          </cell>
        </row>
      </sheetData>
      <sheetData sheetId="54">
        <row r="8">
          <cell r="B8">
            <v>0.22344666666667001</v>
          </cell>
          <cell r="C8">
            <v>12.474927475308281</v>
          </cell>
          <cell r="D8">
            <v>0.62852329512023997</v>
          </cell>
        </row>
        <row r="9">
          <cell r="C9">
            <v>10.46114327301219</v>
          </cell>
        </row>
        <row r="10">
          <cell r="C10">
            <v>2.0067045581399499</v>
          </cell>
          <cell r="D10">
            <v>0.22844826903959001</v>
          </cell>
        </row>
        <row r="12">
          <cell r="C12" t="str">
            <v>NE</v>
          </cell>
          <cell r="D12">
            <v>0.39989147975068001</v>
          </cell>
        </row>
        <row r="21">
          <cell r="C21" t="str">
            <v>NE</v>
          </cell>
          <cell r="D21" t="str">
            <v>NE</v>
          </cell>
        </row>
        <row r="22">
          <cell r="C22" t="str">
            <v>NO,NE</v>
          </cell>
          <cell r="D22" t="str">
            <v>NE</v>
          </cell>
        </row>
      </sheetData>
      <sheetData sheetId="55"/>
      <sheetData sheetId="56">
        <row r="7">
          <cell r="C7">
            <v>885.29135521667354</v>
          </cell>
          <cell r="D7">
            <v>297.26028501495693</v>
          </cell>
          <cell r="J7">
            <v>8412.3942327708701</v>
          </cell>
        </row>
        <row r="28">
          <cell r="C28">
            <v>311.87318688270699</v>
          </cell>
          <cell r="D28">
            <v>187.29994194583151</v>
          </cell>
          <cell r="J28">
            <v>499.39657549520518</v>
          </cell>
        </row>
        <row r="29">
          <cell r="C29">
            <v>261.52858182530474</v>
          </cell>
          <cell r="J29">
            <v>261.52858182530474</v>
          </cell>
        </row>
        <row r="30">
          <cell r="C30">
            <v>50.167613953498751</v>
          </cell>
          <cell r="D30">
            <v>68.077584173797817</v>
          </cell>
          <cell r="J30">
            <v>118.24519812729658</v>
          </cell>
        </row>
        <row r="32">
          <cell r="D32">
            <v>119.16766096570264</v>
          </cell>
          <cell r="J32">
            <v>119.16766096570264</v>
          </cell>
        </row>
        <row r="41">
          <cell r="C41" t="str">
            <v>NE</v>
          </cell>
          <cell r="D41" t="str">
            <v>NE</v>
          </cell>
          <cell r="J41">
            <v>-153.76966057733981</v>
          </cell>
        </row>
        <row r="42">
          <cell r="C42" t="str">
            <v>NO,NE</v>
          </cell>
          <cell r="D42" t="str">
            <v>NE</v>
          </cell>
          <cell r="J42">
            <v>-124.72203456935446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C7" t="str">
            <v>NO</v>
          </cell>
        </row>
        <row r="9">
          <cell r="C9" t="str">
            <v>NO</v>
          </cell>
          <cell r="D9" t="str">
            <v>NO</v>
          </cell>
        </row>
        <row r="10">
          <cell r="C10" t="str">
            <v>NO</v>
          </cell>
          <cell r="D10" t="str">
            <v>NO</v>
          </cell>
        </row>
        <row r="11">
          <cell r="B11">
            <v>161.36897333333334</v>
          </cell>
        </row>
        <row r="12">
          <cell r="B12">
            <v>125.9232857142857</v>
          </cell>
        </row>
        <row r="13">
          <cell r="B13" t="str">
            <v>NO</v>
          </cell>
        </row>
        <row r="14">
          <cell r="B14" t="str">
            <v>NO</v>
          </cell>
          <cell r="C14" t="str">
            <v>NO</v>
          </cell>
          <cell r="D14" t="str">
            <v>NO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7">
          <cell r="C17" t="str">
            <v>NO</v>
          </cell>
          <cell r="E17" t="str">
            <v>NO</v>
          </cell>
        </row>
      </sheetData>
      <sheetData sheetId="30"/>
      <sheetData sheetId="31"/>
      <sheetData sheetId="32"/>
      <sheetData sheetId="33">
        <row r="8">
          <cell r="C8">
            <v>0.91611561870317004</v>
          </cell>
        </row>
        <row r="11">
          <cell r="B11">
            <v>97.156963133440698</v>
          </cell>
        </row>
        <row r="14">
          <cell r="B14">
            <v>-282.25843261318118</v>
          </cell>
        </row>
      </sheetData>
      <sheetData sheetId="34">
        <row r="17">
          <cell r="L17">
            <v>7887.1008300000003</v>
          </cell>
        </row>
      </sheetData>
      <sheetData sheetId="35">
        <row r="10">
          <cell r="C10">
            <v>2673.39167</v>
          </cell>
        </row>
      </sheetData>
      <sheetData sheetId="36">
        <row r="10">
          <cell r="C10">
            <v>3192.6305200000002</v>
          </cell>
          <cell r="D10">
            <v>3192.6305200000002</v>
          </cell>
          <cell r="E10" t="str">
            <v>NO</v>
          </cell>
          <cell r="P10">
            <v>-23.369679721786461</v>
          </cell>
          <cell r="Q10" t="str">
            <v>NO</v>
          </cell>
        </row>
      </sheetData>
      <sheetData sheetId="37">
        <row r="10">
          <cell r="C10">
            <v>1011.0951799999998</v>
          </cell>
          <cell r="D10">
            <v>1011.0951799999998</v>
          </cell>
          <cell r="E10" t="str">
            <v>NO</v>
          </cell>
          <cell r="P10">
            <v>74.160962127193358</v>
          </cell>
          <cell r="Q10" t="str">
            <v>NO</v>
          </cell>
        </row>
      </sheetData>
      <sheetData sheetId="38">
        <row r="10">
          <cell r="C10">
            <v>166.57040000000001</v>
          </cell>
        </row>
      </sheetData>
      <sheetData sheetId="39">
        <row r="10">
          <cell r="C10">
            <v>843.41306000000009</v>
          </cell>
        </row>
      </sheetData>
      <sheetData sheetId="40">
        <row r="10">
          <cell r="C10" t="str">
            <v>NO,IE,NA</v>
          </cell>
        </row>
      </sheetData>
      <sheetData sheetId="41"/>
      <sheetData sheetId="42">
        <row r="10">
          <cell r="H10" t="str">
            <v>NO</v>
          </cell>
        </row>
        <row r="25">
          <cell r="I25" t="str">
            <v>NO</v>
          </cell>
        </row>
        <row r="33">
          <cell r="C33" t="str">
            <v>NO</v>
          </cell>
          <cell r="G33" t="str">
            <v>NO</v>
          </cell>
          <cell r="H33" t="str">
            <v>NO</v>
          </cell>
          <cell r="I33" t="str">
            <v>NO</v>
          </cell>
        </row>
        <row r="40">
          <cell r="I40" t="str">
            <v>NO</v>
          </cell>
        </row>
        <row r="48">
          <cell r="C48" t="str">
            <v>NO</v>
          </cell>
          <cell r="G48" t="str">
            <v>NO</v>
          </cell>
          <cell r="H48" t="str">
            <v>NO</v>
          </cell>
          <cell r="I48" t="str">
            <v>NO</v>
          </cell>
        </row>
      </sheetData>
      <sheetData sheetId="43">
        <row r="10">
          <cell r="B10" t="str">
            <v>NO</v>
          </cell>
        </row>
        <row r="13">
          <cell r="B13">
            <v>16.1799</v>
          </cell>
          <cell r="D13">
            <v>8.0577718571399996E-3</v>
          </cell>
        </row>
        <row r="17">
          <cell r="B17">
            <v>903.69953999999984</v>
          </cell>
          <cell r="D17" t="str">
            <v>NO,NA</v>
          </cell>
        </row>
      </sheetData>
      <sheetData sheetId="44">
        <row r="9">
          <cell r="E9" t="str">
            <v>NO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7">
          <cell r="B7">
            <v>110164.41571773923</v>
          </cell>
          <cell r="C7">
            <v>527.11379632841567</v>
          </cell>
          <cell r="D7">
            <v>20.43753282112462</v>
          </cell>
        </row>
      </sheetData>
      <sheetData sheetId="54">
        <row r="8">
          <cell r="B8">
            <v>287.29225904761904</v>
          </cell>
          <cell r="C8">
            <v>142.89360435542736</v>
          </cell>
          <cell r="D8">
            <v>15.929078733758001</v>
          </cell>
        </row>
        <row r="9">
          <cell r="C9">
            <v>121.57734060561205</v>
          </cell>
        </row>
        <row r="10">
          <cell r="C10">
            <v>21.31626374981532</v>
          </cell>
          <cell r="D10">
            <v>1.7366988534044401</v>
          </cell>
        </row>
        <row r="12">
          <cell r="C12" t="str">
            <v>NA,NE</v>
          </cell>
          <cell r="D12">
            <v>14.19237988035356</v>
          </cell>
        </row>
        <row r="21">
          <cell r="C21" t="str">
            <v>NO</v>
          </cell>
          <cell r="D21">
            <v>8.0577718571399996E-3</v>
          </cell>
        </row>
        <row r="22">
          <cell r="C22" t="str">
            <v>NO</v>
          </cell>
          <cell r="D22" t="str">
            <v>NO,NA</v>
          </cell>
        </row>
      </sheetData>
      <sheetData sheetId="55"/>
      <sheetData sheetId="56">
        <row r="7">
          <cell r="C7">
            <v>13177.844908210393</v>
          </cell>
          <cell r="D7">
            <v>6090.3847806951371</v>
          </cell>
          <cell r="J7">
            <v>133243.74670105378</v>
          </cell>
        </row>
        <row r="28">
          <cell r="C28">
            <v>3572.3401088856845</v>
          </cell>
          <cell r="D28">
            <v>4746.8654626598836</v>
          </cell>
          <cell r="J28">
            <v>8606.4978305931872</v>
          </cell>
        </row>
        <row r="29">
          <cell r="C29">
            <v>3039.4335151403011</v>
          </cell>
          <cell r="J29">
            <v>3039.4335151403011</v>
          </cell>
        </row>
        <row r="30">
          <cell r="C30">
            <v>532.90659374538302</v>
          </cell>
          <cell r="D30">
            <v>517.53625831452314</v>
          </cell>
          <cell r="J30">
            <v>1050.442852059906</v>
          </cell>
        </row>
        <row r="32">
          <cell r="D32">
            <v>4229.3292043453612</v>
          </cell>
          <cell r="J32">
            <v>4229.3292043453612</v>
          </cell>
        </row>
        <row r="41">
          <cell r="C41" t="str">
            <v>NO</v>
          </cell>
          <cell r="D41">
            <v>2.4012160134277201</v>
          </cell>
          <cell r="J41">
            <v>99.558179146868426</v>
          </cell>
        </row>
        <row r="42">
          <cell r="C42" t="str">
            <v>NO</v>
          </cell>
          <cell r="D42" t="str">
            <v>NO,NA</v>
          </cell>
          <cell r="J42">
            <v>-282.25843261318118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C7" t="str">
            <v>NO</v>
          </cell>
        </row>
        <row r="9">
          <cell r="C9" t="str">
            <v>NO</v>
          </cell>
          <cell r="D9" t="str">
            <v>NO</v>
          </cell>
        </row>
        <row r="10">
          <cell r="C10" t="str">
            <v>NO</v>
          </cell>
          <cell r="D10" t="str">
            <v>NO</v>
          </cell>
        </row>
        <row r="11">
          <cell r="B11">
            <v>2140.0512009721042</v>
          </cell>
        </row>
        <row r="12">
          <cell r="B12">
            <v>569.54385688711602</v>
          </cell>
        </row>
        <row r="13">
          <cell r="B13">
            <v>204.22223392559999</v>
          </cell>
        </row>
        <row r="14">
          <cell r="B14" t="str">
            <v>NO,NA</v>
          </cell>
          <cell r="C14">
            <v>53.705456055855102</v>
          </cell>
          <cell r="D14">
            <v>0.88806173933559995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7">
          <cell r="C17">
            <v>1218883</v>
          </cell>
          <cell r="E17">
            <v>8.9215998136891095</v>
          </cell>
        </row>
      </sheetData>
      <sheetData sheetId="30"/>
      <sheetData sheetId="31"/>
      <sheetData sheetId="32"/>
      <sheetData sheetId="33">
        <row r="8">
          <cell r="C8">
            <v>1.90977965622002</v>
          </cell>
        </row>
        <row r="11">
          <cell r="B11">
            <v>15738.531243962098</v>
          </cell>
        </row>
        <row r="14">
          <cell r="B14">
            <v>15334.556257821248</v>
          </cell>
        </row>
      </sheetData>
      <sheetData sheetId="34">
        <row r="17">
          <cell r="L17">
            <v>35790.122000000003</v>
          </cell>
        </row>
      </sheetData>
      <sheetData sheetId="35">
        <row r="10">
          <cell r="C10">
            <v>10997.005999999999</v>
          </cell>
        </row>
      </sheetData>
      <sheetData sheetId="36">
        <row r="10">
          <cell r="C10">
            <v>12656.702000000001</v>
          </cell>
          <cell r="D10">
            <v>12314.565000000001</v>
          </cell>
          <cell r="E10">
            <v>342.137</v>
          </cell>
          <cell r="P10">
            <v>-1219.4665366180502</v>
          </cell>
          <cell r="Q10">
            <v>-2771.3097000000002</v>
          </cell>
        </row>
      </sheetData>
      <sheetData sheetId="37">
        <row r="10">
          <cell r="C10">
            <v>6772</v>
          </cell>
          <cell r="D10">
            <v>5801.5170000000007</v>
          </cell>
          <cell r="E10">
            <v>970.48299999999983</v>
          </cell>
          <cell r="P10">
            <v>2008.6663762238397</v>
          </cell>
          <cell r="Q10">
            <v>-6545.3810044750699</v>
          </cell>
        </row>
      </sheetData>
      <sheetData sheetId="38">
        <row r="10">
          <cell r="C10">
            <v>737.61199999999997</v>
          </cell>
        </row>
      </sheetData>
      <sheetData sheetId="39">
        <row r="10">
          <cell r="C10">
            <v>4589.9170000000004</v>
          </cell>
        </row>
      </sheetData>
      <sheetData sheetId="40">
        <row r="10">
          <cell r="C10">
            <v>36.884999999999998</v>
          </cell>
        </row>
      </sheetData>
      <sheetData sheetId="41"/>
      <sheetData sheetId="42">
        <row r="10">
          <cell r="H10">
            <v>0.68584937041280003</v>
          </cell>
        </row>
        <row r="20">
          <cell r="I20">
            <v>8.895562</v>
          </cell>
        </row>
        <row r="25">
          <cell r="C25" t="str">
            <v>NO</v>
          </cell>
          <cell r="G25" t="str">
            <v>NO</v>
          </cell>
          <cell r="H25" t="str">
            <v>NO</v>
          </cell>
          <cell r="I25" t="str">
            <v>NO</v>
          </cell>
        </row>
        <row r="30">
          <cell r="I30">
            <v>20.284042001596578</v>
          </cell>
        </row>
        <row r="35">
          <cell r="C35" t="str">
            <v>NO,IE</v>
          </cell>
          <cell r="G35" t="str">
            <v>NO</v>
          </cell>
          <cell r="H35">
            <v>5.6045314201320001E-2</v>
          </cell>
          <cell r="I35" t="str">
            <v>NO</v>
          </cell>
        </row>
      </sheetData>
      <sheetData sheetId="43">
        <row r="10">
          <cell r="B10">
            <v>10720.939</v>
          </cell>
        </row>
        <row r="18">
          <cell r="B18">
            <v>1171.1680000000001</v>
          </cell>
          <cell r="D18">
            <v>1.72538978330196</v>
          </cell>
        </row>
        <row r="25">
          <cell r="B25">
            <v>5801.5170000000007</v>
          </cell>
          <cell r="D25">
            <v>0.25787609323171001</v>
          </cell>
        </row>
      </sheetData>
      <sheetData sheetId="44">
        <row r="9">
          <cell r="E9">
            <v>0.65003919702791002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7">
          <cell r="B7">
            <v>726047.55579608993</v>
          </cell>
          <cell r="C7">
            <v>2144.3151273532339</v>
          </cell>
          <cell r="D7">
            <v>123.94414038803183</v>
          </cell>
        </row>
      </sheetData>
      <sheetData sheetId="54">
        <row r="8">
          <cell r="B8">
            <v>2913.8172917848201</v>
          </cell>
          <cell r="C8">
            <v>1301.7231491977864</v>
          </cell>
          <cell r="D8">
            <v>94.322118390526072</v>
          </cell>
        </row>
        <row r="9">
          <cell r="C9">
            <v>1002.7453575692113</v>
          </cell>
        </row>
        <row r="10">
          <cell r="C10">
            <v>245.27233557271992</v>
          </cell>
          <cell r="D10">
            <v>10.72788674186388</v>
          </cell>
        </row>
        <row r="12">
          <cell r="C12" t="str">
            <v>NA</v>
          </cell>
          <cell r="D12">
            <v>82.70616990932659</v>
          </cell>
        </row>
        <row r="21">
          <cell r="C21">
            <v>8.895562</v>
          </cell>
          <cell r="D21">
            <v>1.72538978330196</v>
          </cell>
        </row>
        <row r="22">
          <cell r="C22">
            <v>20.284042001596578</v>
          </cell>
          <cell r="D22">
            <v>0.31392140743302999</v>
          </cell>
        </row>
      </sheetData>
      <sheetData sheetId="55"/>
      <sheetData sheetId="56">
        <row r="7">
          <cell r="C7">
            <v>53607.87818383085</v>
          </cell>
          <cell r="D7">
            <v>36935.353835633483</v>
          </cell>
          <cell r="J7">
            <v>831436.94674358377</v>
          </cell>
        </row>
        <row r="28">
          <cell r="C28">
            <v>32543.078729944657</v>
          </cell>
          <cell r="D28">
            <v>28107.991280376769</v>
          </cell>
          <cell r="J28">
            <v>63564.887302106246</v>
          </cell>
        </row>
        <row r="29">
          <cell r="C29">
            <v>25068.63393923028</v>
          </cell>
          <cell r="J29">
            <v>25068.63393923028</v>
          </cell>
        </row>
        <row r="30">
          <cell r="C30">
            <v>6131.8083893179983</v>
          </cell>
          <cell r="D30">
            <v>3196.9102490754362</v>
          </cell>
          <cell r="J30">
            <v>9328.718638393435</v>
          </cell>
        </row>
        <row r="32">
          <cell r="D32">
            <v>24646.438632979323</v>
          </cell>
          <cell r="J32">
            <v>24646.438632979323</v>
          </cell>
        </row>
        <row r="41">
          <cell r="C41">
            <v>222.38905</v>
          </cell>
          <cell r="D41">
            <v>514.16615542398404</v>
          </cell>
          <cell r="J41">
            <v>16475.086449386083</v>
          </cell>
        </row>
        <row r="42">
          <cell r="C42">
            <v>507.10105003991453</v>
          </cell>
          <cell r="D42">
            <v>93.548579415042937</v>
          </cell>
          <cell r="J42">
            <v>15935.205887276206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7">
          <cell r="C7" t="str">
            <v>NO</v>
          </cell>
        </row>
        <row r="9">
          <cell r="C9" t="str">
            <v>NO</v>
          </cell>
          <cell r="D9" t="str">
            <v>NO</v>
          </cell>
        </row>
        <row r="10">
          <cell r="C10">
            <v>0.13693232250000001</v>
          </cell>
          <cell r="D10">
            <v>3.5500972500000002E-3</v>
          </cell>
        </row>
        <row r="11">
          <cell r="B11">
            <v>239.92026478902091</v>
          </cell>
        </row>
        <row r="12">
          <cell r="B12">
            <v>1.39333333333333</v>
          </cell>
        </row>
        <row r="13">
          <cell r="B13">
            <v>2.871</v>
          </cell>
        </row>
        <row r="14">
          <cell r="B14" t="str">
            <v>NA</v>
          </cell>
          <cell r="C14" t="str">
            <v>NA</v>
          </cell>
          <cell r="D14" t="str">
            <v>NA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7">
          <cell r="C17">
            <v>179020.625</v>
          </cell>
          <cell r="E17">
            <v>2.1882759689490499</v>
          </cell>
        </row>
      </sheetData>
      <sheetData sheetId="30" refreshError="1"/>
      <sheetData sheetId="31" refreshError="1"/>
      <sheetData sheetId="32" refreshError="1"/>
      <sheetData sheetId="33">
        <row r="8">
          <cell r="C8">
            <v>1.1768887956</v>
          </cell>
        </row>
        <row r="11">
          <cell r="B11">
            <v>4443.0247510664376</v>
          </cell>
        </row>
        <row r="14">
          <cell r="B14">
            <v>1390.3044837888067</v>
          </cell>
        </row>
      </sheetData>
      <sheetData sheetId="34">
        <row r="17">
          <cell r="L17">
            <v>220914.15237166637</v>
          </cell>
        </row>
      </sheetData>
      <sheetData sheetId="35">
        <row r="10">
          <cell r="C10">
            <v>639.32468749957002</v>
          </cell>
        </row>
      </sheetData>
      <sheetData sheetId="36">
        <row r="10">
          <cell r="C10">
            <v>2816.94096871998</v>
          </cell>
          <cell r="D10">
            <v>2690.0610125623002</v>
          </cell>
          <cell r="P10">
            <v>-220.3945520899</v>
          </cell>
          <cell r="Q10">
            <v>-961.37393724000003</v>
          </cell>
        </row>
      </sheetData>
      <sheetData sheetId="37">
        <row r="10">
          <cell r="C10">
            <v>417.01865625014</v>
          </cell>
          <cell r="D10">
            <v>358.17791150890002</v>
          </cell>
          <cell r="P10">
            <v>0.74555276681670002</v>
          </cell>
          <cell r="Q10">
            <v>-332.8664166227</v>
          </cell>
        </row>
      </sheetData>
      <sheetData sheetId="38">
        <row r="10">
          <cell r="C10">
            <v>119.5592063105116</v>
          </cell>
        </row>
      </sheetData>
      <sheetData sheetId="39">
        <row r="10">
          <cell r="C10">
            <v>535.87005505690001</v>
          </cell>
        </row>
      </sheetData>
      <sheetData sheetId="40">
        <row r="10">
          <cell r="C10">
            <v>216385.74314499999</v>
          </cell>
        </row>
      </sheetData>
      <sheetData sheetId="41" refreshError="1"/>
      <sheetData sheetId="42">
        <row r="10">
          <cell r="H10">
            <v>8.0875387613000005E-2</v>
          </cell>
        </row>
        <row r="24">
          <cell r="I24">
            <v>5.6416247365899999</v>
          </cell>
        </row>
        <row r="32">
          <cell r="C32" t="str">
            <v>NO</v>
          </cell>
          <cell r="G32" t="str">
            <v>NO</v>
          </cell>
          <cell r="H32" t="str">
            <v>NO</v>
          </cell>
          <cell r="I32" t="str">
            <v>NO</v>
          </cell>
        </row>
        <row r="38">
          <cell r="I38">
            <v>2.9395610148000002</v>
          </cell>
        </row>
        <row r="45">
          <cell r="C45" t="str">
            <v>NO,IE</v>
          </cell>
          <cell r="G45" t="str">
            <v>NO,IE</v>
          </cell>
          <cell r="H45" t="str">
            <v>NO</v>
          </cell>
          <cell r="I45" t="str">
            <v>NO,IE</v>
          </cell>
        </row>
      </sheetData>
      <sheetData sheetId="43">
        <row r="10">
          <cell r="B10">
            <v>636.21386113000005</v>
          </cell>
        </row>
        <row r="14">
          <cell r="B14">
            <v>36.966488662300002</v>
          </cell>
          <cell r="D14">
            <v>6.6926798064999996E-3</v>
          </cell>
        </row>
        <row r="18">
          <cell r="B18">
            <v>245.41009033189999</v>
          </cell>
          <cell r="D18">
            <v>2.5887262499999998E-3</v>
          </cell>
        </row>
      </sheetData>
      <sheetData sheetId="44">
        <row r="9">
          <cell r="E9" t="str">
            <v>IE,NO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7">
          <cell r="B7">
            <v>42498.419073433062</v>
          </cell>
          <cell r="C7">
            <v>306.79062514120596</v>
          </cell>
          <cell r="D7">
            <v>18.32950233516171</v>
          </cell>
        </row>
      </sheetData>
      <sheetData sheetId="54">
        <row r="8">
          <cell r="B8">
            <v>244.18459812235423</v>
          </cell>
          <cell r="C8">
            <v>240.70915732572374</v>
          </cell>
          <cell r="D8">
            <v>16.157460286363641</v>
          </cell>
        </row>
        <row r="9">
          <cell r="C9">
            <v>151.75164043348548</v>
          </cell>
        </row>
        <row r="10">
          <cell r="C10">
            <v>88.820584569738259</v>
          </cell>
          <cell r="D10">
            <v>2.4697121120766199</v>
          </cell>
        </row>
        <row r="12">
          <cell r="C12" t="str">
            <v>NE,NO</v>
          </cell>
          <cell r="D12">
            <v>13.684198077037021</v>
          </cell>
        </row>
        <row r="21">
          <cell r="C21">
            <v>5.6416247365899999</v>
          </cell>
          <cell r="D21">
            <v>6.6926798064999996E-3</v>
          </cell>
        </row>
        <row r="22">
          <cell r="C22">
            <v>2.9405119325040001</v>
          </cell>
          <cell r="D22">
            <v>2.6755491708000002E-3</v>
          </cell>
        </row>
      </sheetData>
      <sheetData sheetId="55" refreshError="1"/>
      <sheetData sheetId="56">
        <row r="7">
          <cell r="C7">
            <v>7669.7656285301491</v>
          </cell>
          <cell r="D7">
            <v>5462.1916958781894</v>
          </cell>
          <cell r="J7">
            <v>56289.232139302905</v>
          </cell>
        </row>
        <row r="28">
          <cell r="C28">
            <v>6017.7289331430939</v>
          </cell>
          <cell r="D28">
            <v>4814.9231653363649</v>
          </cell>
          <cell r="J28">
            <v>11076.836696601813</v>
          </cell>
        </row>
        <row r="29">
          <cell r="C29">
            <v>3793.791010837137</v>
          </cell>
          <cell r="J29">
            <v>3793.791010837137</v>
          </cell>
        </row>
        <row r="30">
          <cell r="C30">
            <v>2220.5146142434564</v>
          </cell>
          <cell r="D30">
            <v>735.97420939883273</v>
          </cell>
          <cell r="J30">
            <v>2956.4888236422894</v>
          </cell>
        </row>
        <row r="32">
          <cell r="D32">
            <v>4077.891026957032</v>
          </cell>
          <cell r="J32">
            <v>4077.891026957032</v>
          </cell>
        </row>
        <row r="41">
          <cell r="C41">
            <v>141.04061841475001</v>
          </cell>
          <cell r="D41">
            <v>1.994418582337</v>
          </cell>
          <cell r="J41">
            <v>4586.0597880635241</v>
          </cell>
        </row>
        <row r="42">
          <cell r="C42">
            <v>73.512798312599998</v>
          </cell>
          <cell r="D42">
            <v>0.79731365289839995</v>
          </cell>
          <cell r="J42">
            <v>1464.6145957543051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24">
          <cell r="C24">
            <v>127.425193456309</v>
          </cell>
        </row>
        <row r="25">
          <cell r="G25">
            <v>27.558485903000001</v>
          </cell>
        </row>
        <row r="38">
          <cell r="C38">
            <v>51.615139741</v>
          </cell>
        </row>
        <row r="39">
          <cell r="G39">
            <v>12.271254661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7">
          <cell r="C7">
            <v>17.328016293000001</v>
          </cell>
        </row>
        <row r="9">
          <cell r="C9" t="str">
            <v>NO</v>
          </cell>
          <cell r="D9" t="str">
            <v>NO</v>
          </cell>
        </row>
        <row r="10">
          <cell r="C10">
            <v>0.76297921499999999</v>
          </cell>
          <cell r="D10">
            <v>1.9780941E-2</v>
          </cell>
        </row>
        <row r="11">
          <cell r="B11">
            <v>25.767569999999999</v>
          </cell>
        </row>
        <row r="12">
          <cell r="B12">
            <v>472.84209099999998</v>
          </cell>
        </row>
        <row r="13">
          <cell r="B13" t="str">
            <v>NO</v>
          </cell>
        </row>
        <row r="14">
          <cell r="B14" t="str">
            <v>NO</v>
          </cell>
          <cell r="C14" t="str">
            <v>NO</v>
          </cell>
          <cell r="D14" t="str">
            <v>NO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7">
          <cell r="C17" t="str">
            <v>NO</v>
          </cell>
          <cell r="E17" t="str">
            <v>NO</v>
          </cell>
        </row>
      </sheetData>
      <sheetData sheetId="30" refreshError="1"/>
      <sheetData sheetId="31" refreshError="1"/>
      <sheetData sheetId="32" refreshError="1"/>
      <sheetData sheetId="33">
        <row r="8">
          <cell r="C8">
            <v>6.0476002008057996</v>
          </cell>
        </row>
        <row r="11">
          <cell r="B11">
            <v>-3713.6207294507076</v>
          </cell>
        </row>
        <row r="14">
          <cell r="B14">
            <v>41.820103913693409</v>
          </cell>
        </row>
      </sheetData>
      <sheetData sheetId="34">
        <row r="17">
          <cell r="L17">
            <v>50651.029687999995</v>
          </cell>
        </row>
      </sheetData>
      <sheetData sheetId="35">
        <row r="10">
          <cell r="C10">
            <v>15688.006056790762</v>
          </cell>
        </row>
      </sheetData>
      <sheetData sheetId="36">
        <row r="10">
          <cell r="C10">
            <v>20015.271359861275</v>
          </cell>
          <cell r="D10">
            <v>20015.271359861275</v>
          </cell>
          <cell r="E10" t="str">
            <v>NO</v>
          </cell>
          <cell r="P10">
            <v>392.30389942079438</v>
          </cell>
          <cell r="Q10" t="str">
            <v>NO</v>
          </cell>
        </row>
      </sheetData>
      <sheetData sheetId="37">
        <row r="10">
          <cell r="C10">
            <v>11904.113257691393</v>
          </cell>
          <cell r="D10">
            <v>11904.113257691393</v>
          </cell>
          <cell r="P10">
            <v>70.33147643639758</v>
          </cell>
          <cell r="Q10" t="str">
            <v>NO</v>
          </cell>
        </row>
      </sheetData>
      <sheetData sheetId="38">
        <row r="10">
          <cell r="C10">
            <v>419.88618818851182</v>
          </cell>
        </row>
      </sheetData>
      <sheetData sheetId="39">
        <row r="10">
          <cell r="C10">
            <v>1465.2667001740001</v>
          </cell>
        </row>
      </sheetData>
      <sheetData sheetId="40">
        <row r="10">
          <cell r="C10">
            <v>1158.4887118691927</v>
          </cell>
        </row>
      </sheetData>
      <sheetData sheetId="41" refreshError="1"/>
      <sheetData sheetId="42">
        <row r="10">
          <cell r="H10" t="str">
            <v>NO</v>
          </cell>
        </row>
        <row r="18">
          <cell r="I18" t="str">
            <v>NO</v>
          </cell>
        </row>
        <row r="22">
          <cell r="C22" t="str">
            <v>NO</v>
          </cell>
          <cell r="G22" t="str">
            <v>NO</v>
          </cell>
          <cell r="H22" t="str">
            <v>NO</v>
          </cell>
          <cell r="I22" t="str">
            <v>NO</v>
          </cell>
        </row>
        <row r="26">
          <cell r="I26" t="str">
            <v>NO</v>
          </cell>
        </row>
        <row r="30">
          <cell r="C30" t="str">
            <v>NO</v>
          </cell>
          <cell r="G30" t="str">
            <v>NO</v>
          </cell>
          <cell r="H30" t="str">
            <v>NO</v>
          </cell>
          <cell r="I30" t="str">
            <v>NO</v>
          </cell>
        </row>
      </sheetData>
      <sheetData sheetId="43">
        <row r="10">
          <cell r="B10">
            <v>100.78682259999999</v>
          </cell>
        </row>
        <row r="13">
          <cell r="B13">
            <v>200.59998972647116</v>
          </cell>
          <cell r="D13">
            <v>0.18342348721533999</v>
          </cell>
        </row>
        <row r="15">
          <cell r="B15">
            <v>37.858104480428338</v>
          </cell>
          <cell r="D15">
            <v>5.2596199496500002E-3</v>
          </cell>
        </row>
      </sheetData>
      <sheetData sheetId="44">
        <row r="9">
          <cell r="E9">
            <v>1.6618869278269999E-2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7">
          <cell r="B7">
            <v>231104.69756299822</v>
          </cell>
          <cell r="C7">
            <v>1595.4812792028845</v>
          </cell>
          <cell r="D7">
            <v>62.75867509110936</v>
          </cell>
        </row>
      </sheetData>
      <sheetData sheetId="54">
        <row r="8">
          <cell r="B8">
            <v>498.60966099999996</v>
          </cell>
          <cell r="C8">
            <v>996.64414276900004</v>
          </cell>
          <cell r="D8">
            <v>47.748491045000002</v>
          </cell>
        </row>
        <row r="9">
          <cell r="C9">
            <v>706.75608045599995</v>
          </cell>
        </row>
        <row r="10">
          <cell r="C10">
            <v>271.79706680499999</v>
          </cell>
          <cell r="D10">
            <v>6.3971717650000004</v>
          </cell>
        </row>
        <row r="12">
          <cell r="C12" t="str">
            <v>IE</v>
          </cell>
          <cell r="D12">
            <v>41.331538338999998</v>
          </cell>
        </row>
        <row r="21">
          <cell r="C21">
            <v>0.28518166020000002</v>
          </cell>
          <cell r="D21">
            <v>0.20662113175534</v>
          </cell>
        </row>
        <row r="22">
          <cell r="C22">
            <v>0.25541661345</v>
          </cell>
          <cell r="D22">
            <v>2.8580267264649999E-2</v>
          </cell>
        </row>
      </sheetData>
      <sheetData sheetId="55" refreshError="1"/>
      <sheetData sheetId="56">
        <row r="7">
          <cell r="C7">
            <v>39887.031980072112</v>
          </cell>
          <cell r="D7">
            <v>18702.085177150588</v>
          </cell>
          <cell r="J7">
            <v>296158.86266027967</v>
          </cell>
        </row>
        <row r="28">
          <cell r="C28">
            <v>24916.103569225001</v>
          </cell>
          <cell r="D28">
            <v>14229.050331410001</v>
          </cell>
          <cell r="J28">
            <v>39643.763561635002</v>
          </cell>
        </row>
        <row r="29">
          <cell r="C29">
            <v>17668.902011399998</v>
          </cell>
          <cell r="J29">
            <v>17668.902011399998</v>
          </cell>
        </row>
        <row r="30">
          <cell r="C30">
            <v>6794.9266701249999</v>
          </cell>
          <cell r="D30">
            <v>1906.35718597</v>
          </cell>
          <cell r="J30">
            <v>8701.2838560950004</v>
          </cell>
        </row>
        <row r="32">
          <cell r="D32">
            <v>12316.798425022</v>
          </cell>
          <cell r="J32">
            <v>12316.798425022</v>
          </cell>
        </row>
        <row r="41">
          <cell r="C41">
            <v>7.1295415049999997</v>
          </cell>
          <cell r="D41">
            <v>61.57309726309132</v>
          </cell>
          <cell r="J41">
            <v>-3644.9180906826164</v>
          </cell>
        </row>
        <row r="42">
          <cell r="C42">
            <v>6.3854153362500004</v>
          </cell>
          <cell r="D42">
            <v>8.5169196448657001</v>
          </cell>
          <cell r="J42">
            <v>56.722438894809109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86"/>
  <sheetViews>
    <sheetView zoomScaleNormal="100" workbookViewId="0">
      <pane xSplit="1" topLeftCell="B1" activePane="topRight" state="frozen"/>
      <selection pane="topRight" activeCell="E5" sqref="E5"/>
    </sheetView>
  </sheetViews>
  <sheetFormatPr baseColWidth="10" defaultRowHeight="14.5" x14ac:dyDescent="0.35"/>
  <cols>
    <col min="1" max="1" width="6.26953125" style="19" customWidth="1"/>
    <col min="2" max="2" width="14.453125" style="19" customWidth="1"/>
    <col min="3" max="3" width="11" style="19" customWidth="1"/>
    <col min="4" max="4" width="14.453125" style="19" customWidth="1"/>
    <col min="5" max="5" width="11.81640625" style="19" customWidth="1"/>
    <col min="6" max="6" width="11.26953125" style="19" customWidth="1"/>
    <col min="7" max="7" width="14.1796875" style="19" customWidth="1"/>
    <col min="8" max="8" width="10.7265625" style="19" customWidth="1"/>
    <col min="9" max="9" width="9.7265625" style="19" customWidth="1"/>
    <col min="10" max="10" width="14" style="19" customWidth="1"/>
    <col min="11" max="11" width="10.7265625" style="19" customWidth="1"/>
    <col min="12" max="12" width="11.81640625" style="19" customWidth="1"/>
    <col min="13" max="13" width="11.453125" style="50" customWidth="1"/>
    <col min="14" max="14" width="11.54296875" style="50" customWidth="1"/>
    <col min="15" max="15" width="14.26953125" style="19" customWidth="1"/>
    <col min="16" max="16" width="11.26953125" style="19" customWidth="1"/>
    <col min="17" max="17" width="10.1796875" style="19" customWidth="1"/>
    <col min="18" max="18" width="14.453125" style="19" customWidth="1"/>
    <col min="19" max="19" width="11" style="19" customWidth="1"/>
    <col min="20" max="24" width="12.54296875" style="19" customWidth="1"/>
    <col min="25" max="25" width="11.453125" style="19" customWidth="1"/>
    <col min="26" max="26" width="12.26953125" style="19" customWidth="1"/>
    <col min="27" max="27" width="14.26953125" style="19" customWidth="1"/>
    <col min="28" max="28" width="11" style="19" customWidth="1"/>
    <col min="29" max="29" width="9.54296875" style="19" customWidth="1"/>
    <col min="30" max="30" width="14.26953125" style="19" customWidth="1"/>
    <col min="31" max="31" width="10.7265625" style="19" customWidth="1"/>
    <col min="32" max="32" width="11" style="19" customWidth="1"/>
    <col min="33" max="33" width="14" style="19" customWidth="1"/>
    <col min="34" max="34" width="11.54296875" style="19" customWidth="1"/>
    <col min="35" max="35" width="13.1796875" style="19" customWidth="1"/>
    <col min="36" max="36" width="14" style="19" customWidth="1"/>
    <col min="37" max="37" width="11.54296875" style="19" customWidth="1"/>
    <col min="38" max="38" width="11.81640625" style="19" customWidth="1"/>
    <col min="39" max="39" width="14.26953125" style="19" customWidth="1"/>
    <col min="40" max="42" width="13.81640625" style="19" customWidth="1"/>
    <col min="43" max="43" width="14.26953125" style="19" customWidth="1"/>
    <col min="44" max="44" width="14.453125" style="19" customWidth="1"/>
    <col min="45" max="46" width="17.453125" style="19" customWidth="1"/>
    <col min="47" max="47" width="14.1796875" style="19" customWidth="1"/>
    <col min="48" max="48" width="19.453125" style="19" customWidth="1"/>
    <col min="49" max="49" width="14.26953125" style="19" customWidth="1"/>
    <col min="50" max="50" width="19.81640625" style="19" customWidth="1"/>
    <col min="51" max="52" width="11.54296875" style="19"/>
  </cols>
  <sheetData>
    <row r="1" spans="1:51" s="19" customFormat="1" ht="14.5" customHeight="1" x14ac:dyDescent="0.35">
      <c r="A1" s="64"/>
      <c r="B1" s="128" t="s">
        <v>115</v>
      </c>
      <c r="C1" s="129"/>
      <c r="D1" s="130"/>
      <c r="E1" s="129" t="s">
        <v>116</v>
      </c>
      <c r="F1" s="129"/>
      <c r="G1" s="129"/>
      <c r="H1" s="129"/>
      <c r="I1" s="129"/>
      <c r="J1" s="129"/>
      <c r="K1" s="129"/>
      <c r="L1" s="130"/>
      <c r="M1" s="128" t="s">
        <v>117</v>
      </c>
      <c r="N1" s="129"/>
      <c r="O1" s="129"/>
      <c r="P1" s="129"/>
      <c r="Q1" s="129"/>
      <c r="R1" s="129"/>
      <c r="S1" s="129"/>
      <c r="T1" s="129"/>
      <c r="U1" s="128" t="s">
        <v>118</v>
      </c>
      <c r="V1" s="129"/>
      <c r="W1" s="129"/>
      <c r="X1" s="130"/>
      <c r="Y1" s="103" t="s">
        <v>119</v>
      </c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5"/>
      <c r="AM1" s="134" t="s">
        <v>120</v>
      </c>
      <c r="AN1" s="135"/>
      <c r="AO1" s="135"/>
      <c r="AP1" s="135"/>
      <c r="AQ1" s="135"/>
      <c r="AR1" s="135"/>
      <c r="AS1" s="135"/>
      <c r="AT1" s="136"/>
      <c r="AU1" s="134" t="s">
        <v>121</v>
      </c>
      <c r="AV1" s="135"/>
      <c r="AW1" s="135"/>
      <c r="AX1" s="136"/>
      <c r="AY1" s="59"/>
    </row>
    <row r="2" spans="1:51" s="19" customFormat="1" ht="43.15" customHeight="1" x14ac:dyDescent="0.35">
      <c r="A2" s="1"/>
      <c r="B2" s="131" t="s">
        <v>93</v>
      </c>
      <c r="C2" s="132"/>
      <c r="D2" s="133"/>
      <c r="E2" s="131" t="s">
        <v>60</v>
      </c>
      <c r="F2" s="132"/>
      <c r="G2" s="133"/>
      <c r="H2" s="132" t="s">
        <v>96</v>
      </c>
      <c r="I2" s="132"/>
      <c r="J2" s="133"/>
      <c r="K2" s="132" t="s">
        <v>61</v>
      </c>
      <c r="L2" s="133"/>
      <c r="M2" s="131" t="s">
        <v>97</v>
      </c>
      <c r="N2" s="132"/>
      <c r="O2" s="133"/>
      <c r="P2" s="132" t="s">
        <v>96</v>
      </c>
      <c r="Q2" s="132"/>
      <c r="R2" s="133"/>
      <c r="S2" s="132" t="s">
        <v>61</v>
      </c>
      <c r="T2" s="132"/>
      <c r="U2" s="119" t="s">
        <v>97</v>
      </c>
      <c r="V2" s="122" t="s">
        <v>96</v>
      </c>
      <c r="W2" s="122" t="s">
        <v>95</v>
      </c>
      <c r="X2" s="125" t="s">
        <v>61</v>
      </c>
      <c r="Y2" s="106" t="s">
        <v>97</v>
      </c>
      <c r="Z2" s="107"/>
      <c r="AA2" s="108"/>
      <c r="AB2" s="107" t="s">
        <v>96</v>
      </c>
      <c r="AC2" s="107"/>
      <c r="AD2" s="108"/>
      <c r="AE2" s="107" t="s">
        <v>95</v>
      </c>
      <c r="AF2" s="107"/>
      <c r="AG2" s="108"/>
      <c r="AH2" s="106" t="s">
        <v>98</v>
      </c>
      <c r="AI2" s="107"/>
      <c r="AJ2" s="108"/>
      <c r="AK2" s="107" t="s">
        <v>61</v>
      </c>
      <c r="AL2" s="108"/>
      <c r="AM2" s="99" t="s">
        <v>109</v>
      </c>
      <c r="AN2" s="109" t="s">
        <v>107</v>
      </c>
      <c r="AO2" s="99" t="s">
        <v>110</v>
      </c>
      <c r="AP2" s="109" t="s">
        <v>107</v>
      </c>
      <c r="AQ2" s="99" t="s">
        <v>68</v>
      </c>
      <c r="AR2" s="109" t="s">
        <v>106</v>
      </c>
      <c r="AS2" s="99" t="s">
        <v>108</v>
      </c>
      <c r="AT2" s="109" t="s">
        <v>106</v>
      </c>
      <c r="AU2" s="99" t="s">
        <v>68</v>
      </c>
      <c r="AV2" s="109" t="s">
        <v>111</v>
      </c>
      <c r="AW2" s="99" t="s">
        <v>108</v>
      </c>
      <c r="AX2" s="109" t="s">
        <v>112</v>
      </c>
      <c r="AY2" s="51"/>
    </row>
    <row r="3" spans="1:51" s="19" customFormat="1" ht="14.5" customHeight="1" x14ac:dyDescent="0.35">
      <c r="A3" s="1"/>
      <c r="B3" s="115" t="s">
        <v>58</v>
      </c>
      <c r="C3" s="111" t="s">
        <v>64</v>
      </c>
      <c r="D3" s="112"/>
      <c r="E3" s="115" t="s">
        <v>58</v>
      </c>
      <c r="F3" s="111" t="s">
        <v>64</v>
      </c>
      <c r="G3" s="112"/>
      <c r="H3" s="117" t="s">
        <v>58</v>
      </c>
      <c r="I3" s="111" t="s">
        <v>64</v>
      </c>
      <c r="J3" s="112"/>
      <c r="K3" s="117" t="s">
        <v>58</v>
      </c>
      <c r="L3" s="117" t="s">
        <v>59</v>
      </c>
      <c r="M3" s="115" t="s">
        <v>58</v>
      </c>
      <c r="N3" s="111" t="s">
        <v>64</v>
      </c>
      <c r="O3" s="112"/>
      <c r="P3" s="117" t="s">
        <v>58</v>
      </c>
      <c r="Q3" s="111" t="s">
        <v>64</v>
      </c>
      <c r="R3" s="112"/>
      <c r="S3" s="117" t="s">
        <v>58</v>
      </c>
      <c r="T3" s="115" t="s">
        <v>59</v>
      </c>
      <c r="U3" s="120"/>
      <c r="V3" s="123"/>
      <c r="W3" s="123"/>
      <c r="X3" s="126"/>
      <c r="Y3" s="113" t="s">
        <v>58</v>
      </c>
      <c r="Z3" s="111" t="s">
        <v>64</v>
      </c>
      <c r="AA3" s="112"/>
      <c r="AB3" s="101" t="s">
        <v>58</v>
      </c>
      <c r="AC3" s="111" t="s">
        <v>64</v>
      </c>
      <c r="AD3" s="112"/>
      <c r="AE3" s="101" t="s">
        <v>58</v>
      </c>
      <c r="AF3" s="111" t="s">
        <v>64</v>
      </c>
      <c r="AG3" s="112"/>
      <c r="AH3" s="115" t="s">
        <v>58</v>
      </c>
      <c r="AI3" s="111" t="s">
        <v>64</v>
      </c>
      <c r="AJ3" s="112"/>
      <c r="AK3" s="101" t="s">
        <v>58</v>
      </c>
      <c r="AL3" s="113" t="s">
        <v>59</v>
      </c>
      <c r="AM3" s="99"/>
      <c r="AN3" s="109"/>
      <c r="AO3" s="99"/>
      <c r="AP3" s="109"/>
      <c r="AQ3" s="99"/>
      <c r="AR3" s="109"/>
      <c r="AS3" s="99"/>
      <c r="AT3" s="109"/>
      <c r="AU3" s="99"/>
      <c r="AV3" s="109"/>
      <c r="AW3" s="99"/>
      <c r="AX3" s="109"/>
      <c r="AY3" s="51"/>
    </row>
    <row r="4" spans="1:51" s="19" customFormat="1" x14ac:dyDescent="0.35">
      <c r="A4" s="65"/>
      <c r="B4" s="116"/>
      <c r="C4" s="66" t="s">
        <v>63</v>
      </c>
      <c r="D4" s="67" t="s">
        <v>62</v>
      </c>
      <c r="E4" s="116"/>
      <c r="F4" s="66" t="s">
        <v>63</v>
      </c>
      <c r="G4" s="69" t="s">
        <v>62</v>
      </c>
      <c r="H4" s="118"/>
      <c r="I4" s="66" t="s">
        <v>63</v>
      </c>
      <c r="J4" s="69" t="s">
        <v>62</v>
      </c>
      <c r="K4" s="118"/>
      <c r="L4" s="118"/>
      <c r="M4" s="116"/>
      <c r="N4" s="67" t="s">
        <v>63</v>
      </c>
      <c r="O4" s="68" t="s">
        <v>62</v>
      </c>
      <c r="P4" s="118"/>
      <c r="Q4" s="66" t="s">
        <v>63</v>
      </c>
      <c r="R4" s="69" t="s">
        <v>62</v>
      </c>
      <c r="S4" s="118"/>
      <c r="T4" s="116"/>
      <c r="U4" s="121"/>
      <c r="V4" s="124"/>
      <c r="W4" s="124"/>
      <c r="X4" s="127"/>
      <c r="Y4" s="114"/>
      <c r="Z4" s="66" t="s">
        <v>63</v>
      </c>
      <c r="AA4" s="69" t="s">
        <v>62</v>
      </c>
      <c r="AB4" s="102"/>
      <c r="AC4" s="70" t="s">
        <v>63</v>
      </c>
      <c r="AD4" s="69" t="s">
        <v>62</v>
      </c>
      <c r="AE4" s="102"/>
      <c r="AF4" s="66" t="s">
        <v>63</v>
      </c>
      <c r="AG4" s="69" t="s">
        <v>62</v>
      </c>
      <c r="AH4" s="116"/>
      <c r="AI4" s="70" t="s">
        <v>63</v>
      </c>
      <c r="AJ4" s="69" t="s">
        <v>62</v>
      </c>
      <c r="AK4" s="102"/>
      <c r="AL4" s="114"/>
      <c r="AM4" s="100"/>
      <c r="AN4" s="110"/>
      <c r="AO4" s="100"/>
      <c r="AP4" s="110"/>
      <c r="AQ4" s="100"/>
      <c r="AR4" s="110"/>
      <c r="AS4" s="100"/>
      <c r="AT4" s="110"/>
      <c r="AU4" s="99"/>
      <c r="AV4" s="109"/>
      <c r="AW4" s="99"/>
      <c r="AX4" s="109"/>
      <c r="AY4" s="51"/>
    </row>
    <row r="5" spans="1:51" s="19" customFormat="1" x14ac:dyDescent="0.35">
      <c r="A5" s="64" t="s">
        <v>57</v>
      </c>
      <c r="B5" s="52">
        <f>AUT!$G$9</f>
        <v>49.742619771427719</v>
      </c>
      <c r="C5" s="52">
        <f>(AUT!$Q$20+AUT!$Q$26)</f>
        <v>44.234208857142853</v>
      </c>
      <c r="D5" s="71">
        <f>(AUT!$W$20+AUT!$W$26)</f>
        <v>461.40285714285721</v>
      </c>
      <c r="E5" s="52">
        <f>AUT!$B$20</f>
        <v>0</v>
      </c>
      <c r="F5" s="52">
        <f>AUT!$M$20</f>
        <v>0</v>
      </c>
      <c r="G5" s="52">
        <f>AUT!$S$20</f>
        <v>1806.2</v>
      </c>
      <c r="H5" s="52">
        <f>AUT!$F$20</f>
        <v>0</v>
      </c>
      <c r="I5" s="52">
        <f>AUT!$P$20+AUT!$P$21</f>
        <v>0</v>
      </c>
      <c r="J5" s="52">
        <f>AUT!$V$20+AUT!$V$21</f>
        <v>97.86</v>
      </c>
      <c r="K5" s="52" t="str">
        <f>AUT!$Y$20</f>
        <v>NO</v>
      </c>
      <c r="L5" s="60">
        <f>AUT!$AA$20</f>
        <v>60</v>
      </c>
      <c r="M5" s="52">
        <f>AUT!$B$26</f>
        <v>304.10119520000001</v>
      </c>
      <c r="N5" s="52">
        <f>AUT!$M$26</f>
        <v>304.46217999999999</v>
      </c>
      <c r="O5" s="52">
        <f>AUT!$S$26</f>
        <v>940.13333333333321</v>
      </c>
      <c r="P5" s="52">
        <f>AUT!$F$26</f>
        <v>23.786782500000001</v>
      </c>
      <c r="Q5" s="52">
        <f>AUT!$P$26+AUT!$P$27</f>
        <v>26.641196400000002</v>
      </c>
      <c r="R5" s="52">
        <f>AUT!$V$26+AUT!$V$27</f>
        <v>82.26400000000001</v>
      </c>
      <c r="S5" s="52">
        <f>AUT!$Y$26</f>
        <v>12.954000000000001</v>
      </c>
      <c r="T5" s="60">
        <f>AUT!$AA$26</f>
        <v>40</v>
      </c>
      <c r="U5" s="52">
        <f>AUT!$S$28</f>
        <v>0</v>
      </c>
      <c r="V5" s="52">
        <f>AUT!$V$28</f>
        <v>0</v>
      </c>
      <c r="W5" s="52">
        <f>AUT!$W$28</f>
        <v>0</v>
      </c>
      <c r="X5" s="52">
        <f>AUT!$AA$29</f>
        <v>0</v>
      </c>
      <c r="Y5" s="63">
        <f t="shared" ref="Y5:Z11" si="0">E5+M5</f>
        <v>304.10119520000001</v>
      </c>
      <c r="Z5" s="52">
        <f t="shared" si="0"/>
        <v>304.46217999999999</v>
      </c>
      <c r="AA5" s="52">
        <f>G5+O5+U5</f>
        <v>2746.333333333333</v>
      </c>
      <c r="AB5" s="52">
        <f t="shared" ref="AB5:AB11" si="1">H5+P5</f>
        <v>23.786782500000001</v>
      </c>
      <c r="AC5" s="52">
        <f t="shared" ref="AC5:AC24" si="2">I5+Q5</f>
        <v>26.641196400000002</v>
      </c>
      <c r="AD5" s="52">
        <f>J5+R5+V5</f>
        <v>180.12400000000002</v>
      </c>
      <c r="AE5" s="52">
        <f t="shared" ref="AE5:AF11" si="3">B5</f>
        <v>49.742619771427719</v>
      </c>
      <c r="AF5" s="52">
        <f t="shared" si="3"/>
        <v>44.234208857142853</v>
      </c>
      <c r="AG5" s="52">
        <f>D5+W5</f>
        <v>461.40285714285721</v>
      </c>
      <c r="AH5" s="52">
        <f t="shared" ref="AH5:AJ6" si="4">Y5+AB5+AE5</f>
        <v>377.63059747142773</v>
      </c>
      <c r="AI5" s="52">
        <f t="shared" si="4"/>
        <v>375.33758525714285</v>
      </c>
      <c r="AJ5" s="52">
        <f t="shared" si="4"/>
        <v>3387.8601904761899</v>
      </c>
      <c r="AK5" s="52">
        <f>S5</f>
        <v>12.954000000000001</v>
      </c>
      <c r="AL5" s="52">
        <f>L5+T5+X5</f>
        <v>100</v>
      </c>
      <c r="AM5" s="52">
        <f>AUT!$Y$16+AUT!$Y$22</f>
        <v>2740.3794848252137</v>
      </c>
      <c r="AN5" s="60">
        <f t="shared" ref="AN5:AN24" si="5">AL5/AM5*100</f>
        <v>3.6491296389331338</v>
      </c>
      <c r="AO5" s="52">
        <f>AUT!$Y$16+AUT!$AA$20+AUT!$Y$22-AUT!$Y$26+AUT!$AA$26+AUT!$AA$29</f>
        <v>2827.4254848252135</v>
      </c>
      <c r="AP5" s="71">
        <f t="shared" ref="AP5:AP38" si="6">AL5/AO5*100</f>
        <v>3.5367863993834598</v>
      </c>
      <c r="AQ5" s="52">
        <f>AUT!$I$4+AUT!$I$16+AUT!$I$22</f>
        <v>7667.1132800962177</v>
      </c>
      <c r="AR5" s="60">
        <f t="shared" ref="AR5:AR24" si="7">AJ5/AQ5*100</f>
        <v>44.186906684567397</v>
      </c>
      <c r="AS5" s="52">
        <f>AUT!$I$4+AUT!$I$16+AUT!$I$22-AH5+AJ5</f>
        <v>10677.342873100981</v>
      </c>
      <c r="AT5" s="60">
        <f t="shared" ref="AT5:AT38" si="8">AJ5/AS5*100</f>
        <v>31.729431476918251</v>
      </c>
      <c r="AU5" s="52">
        <f>AUT!$I$3</f>
        <v>73797.666819953301</v>
      </c>
      <c r="AV5" s="52">
        <f t="shared" ref="AV5:AV24" si="9">AJ5/AU5*100</f>
        <v>4.5907415999230281</v>
      </c>
      <c r="AW5" s="63">
        <f t="shared" ref="AW5:AW37" si="10">AU5+AJ5-AH5</f>
        <v>76807.896412958056</v>
      </c>
      <c r="AX5" s="60">
        <f t="shared" ref="AX5:AX38" si="11">AJ5/AW5*100</f>
        <v>4.4108227782484004</v>
      </c>
      <c r="AY5" s="53"/>
    </row>
    <row r="6" spans="1:51" s="19" customFormat="1" x14ac:dyDescent="0.35">
      <c r="A6" s="79" t="s">
        <v>65</v>
      </c>
      <c r="B6" s="18">
        <f>BEL!$G$9</f>
        <v>9.4406400000000001</v>
      </c>
      <c r="C6" s="18">
        <f>(BEL!$Q$20+BEL!$Q$26)</f>
        <v>10.827392714285715</v>
      </c>
      <c r="D6" s="11">
        <f>(BEL!$W$20+BEL!$W$26)</f>
        <v>13.284071428571428</v>
      </c>
      <c r="E6" s="18">
        <f>BEL!$B$20</f>
        <v>69.63</v>
      </c>
      <c r="F6" s="18">
        <f>BEL!$M$20</f>
        <v>57.166230000000006</v>
      </c>
      <c r="G6" s="18">
        <f>BEL!$S$20</f>
        <v>57.196333333333335</v>
      </c>
      <c r="H6" s="18">
        <f>BEL!$F$20</f>
        <v>0</v>
      </c>
      <c r="I6" s="18">
        <f>BEL!$P$20+BEL!$P$21</f>
        <v>3.0972690000000003</v>
      </c>
      <c r="J6" s="18">
        <f>BEL!$V$20+BEL!$V$21</f>
        <v>3.0989</v>
      </c>
      <c r="K6" s="18">
        <f>BEL!$Y$20</f>
        <v>1.899</v>
      </c>
      <c r="L6" s="11">
        <f>BEL!$AA$20</f>
        <v>1.9</v>
      </c>
      <c r="M6" s="18">
        <f>BEL!$B$26</f>
        <v>5.6924999999999999</v>
      </c>
      <c r="N6" s="18">
        <f>BEL!$M$26</f>
        <v>11.770403333333332</v>
      </c>
      <c r="O6" s="18">
        <f>BEL!$S$26</f>
        <v>64.515000000000001</v>
      </c>
      <c r="P6" s="18">
        <f>BEL!$F$26</f>
        <v>0</v>
      </c>
      <c r="Q6" s="18">
        <f>BEL!$P$26+BEL!$P$27</f>
        <v>1.4574392</v>
      </c>
      <c r="R6" s="18">
        <f>BEL!$V$26+BEL!$V$27</f>
        <v>7.9883999999999986</v>
      </c>
      <c r="S6" s="18">
        <f>BEL!$Y$26</f>
        <v>0.82099999999999995</v>
      </c>
      <c r="T6" s="11">
        <f>BEL!$AA$26</f>
        <v>4.5</v>
      </c>
      <c r="U6" s="18">
        <f>BEL!$S$28</f>
        <v>234.63</v>
      </c>
      <c r="V6" s="18">
        <f>BEL!$V$28</f>
        <v>15.705900000000002</v>
      </c>
      <c r="W6" s="18">
        <f>BEL!$W$28</f>
        <v>37.291178571428567</v>
      </c>
      <c r="X6" s="18">
        <f>BEL!$AA$29</f>
        <v>9</v>
      </c>
      <c r="Y6" s="17">
        <f t="shared" si="0"/>
        <v>75.322499999999991</v>
      </c>
      <c r="Z6" s="18">
        <f t="shared" si="0"/>
        <v>68.936633333333333</v>
      </c>
      <c r="AA6" s="18">
        <f t="shared" ref="AA6:AA37" si="12">G6+O6+U6</f>
        <v>356.3413333333333</v>
      </c>
      <c r="AB6" s="18">
        <f t="shared" si="1"/>
        <v>0</v>
      </c>
      <c r="AC6" s="18">
        <f t="shared" si="2"/>
        <v>4.5547082000000003</v>
      </c>
      <c r="AD6" s="18">
        <f t="shared" ref="AD6:AD37" si="13">J6+R6+V6</f>
        <v>26.793199999999999</v>
      </c>
      <c r="AE6" s="18">
        <f t="shared" si="3"/>
        <v>9.4406400000000001</v>
      </c>
      <c r="AF6" s="18">
        <f t="shared" si="3"/>
        <v>10.827392714285715</v>
      </c>
      <c r="AG6" s="18">
        <f t="shared" ref="AG6:AG37" si="14">D6+W6</f>
        <v>50.575249999999997</v>
      </c>
      <c r="AH6" s="18">
        <f t="shared" si="4"/>
        <v>84.763139999999993</v>
      </c>
      <c r="AI6" s="18">
        <f t="shared" si="4"/>
        <v>84.318734247619034</v>
      </c>
      <c r="AJ6" s="18">
        <f t="shared" si="4"/>
        <v>433.70978333333329</v>
      </c>
      <c r="AK6" s="18">
        <f>K6+S6</f>
        <v>2.7199999999999998</v>
      </c>
      <c r="AL6" s="18">
        <f>L6+T6+X6</f>
        <v>15.4</v>
      </c>
      <c r="AM6" s="18">
        <f>BEL!$Y$16+BEL!$Y$22</f>
        <v>1612.3064535005983</v>
      </c>
      <c r="AN6" s="11">
        <f t="shared" si="5"/>
        <v>0.95515340564220375</v>
      </c>
      <c r="AO6" s="18">
        <f>BEL!$Y$16-BEL!$Y$20+BEL!$AA$20+BEL!$Y$22-BEL!$Y$26+BEL!$AA$26+BEL!$AA$29</f>
        <v>1624.9864535005984</v>
      </c>
      <c r="AP6" s="11">
        <f t="shared" si="6"/>
        <v>0.94770020801249277</v>
      </c>
      <c r="AQ6" s="18">
        <f>BEL!$I$4+BEL!$I$16+BEL!$I$22</f>
        <v>9988.038924273018</v>
      </c>
      <c r="AR6" s="11">
        <f t="shared" si="7"/>
        <v>4.3422916812961958</v>
      </c>
      <c r="AS6" s="18">
        <f>BEL!$I$4+BEL!$I$16+BEL!$I$22-AH6+AJ6</f>
        <v>10336.985567606353</v>
      </c>
      <c r="AT6" s="11">
        <f t="shared" si="8"/>
        <v>4.1957085118941864</v>
      </c>
      <c r="AU6" s="18">
        <f>BEL!$I$3</f>
        <v>117441.11672250947</v>
      </c>
      <c r="AV6" s="18">
        <f t="shared" si="9"/>
        <v>0.36929977799692182</v>
      </c>
      <c r="AW6" s="17">
        <f t="shared" si="10"/>
        <v>117790.06336584281</v>
      </c>
      <c r="AX6" s="11">
        <f t="shared" si="11"/>
        <v>0.36820574753090929</v>
      </c>
      <c r="AY6" s="53"/>
    </row>
    <row r="7" spans="1:51" s="19" customFormat="1" x14ac:dyDescent="0.35">
      <c r="A7" s="73" t="s">
        <v>66</v>
      </c>
      <c r="B7" s="52">
        <f>BGR!$G$9</f>
        <v>154.59872182857228</v>
      </c>
      <c r="C7" s="52">
        <f>(BGR!$Q$20+BGR!$Q$26)</f>
        <v>0</v>
      </c>
      <c r="D7" s="60">
        <f>(BGR!$W$20+BGR!$W$26)</f>
        <v>176.57320999999999</v>
      </c>
      <c r="E7" s="52">
        <f>BGR!$B$20</f>
        <v>0</v>
      </c>
      <c r="F7" s="52">
        <f>BGR!$M$20</f>
        <v>0</v>
      </c>
      <c r="G7" s="52">
        <f>BGR!$S$20</f>
        <v>956.38290000000006</v>
      </c>
      <c r="H7" s="52">
        <f>BGR!$F$20</f>
        <v>0</v>
      </c>
      <c r="I7" s="52">
        <f>BGR!$P$20+BGR!$P$21</f>
        <v>0</v>
      </c>
      <c r="J7" s="52">
        <f>BGR!$V$20+BGR!$V$21</f>
        <v>51.816869999999994</v>
      </c>
      <c r="K7" s="52" t="str">
        <f>BGR!$Y$20</f>
        <v>NO</v>
      </c>
      <c r="L7" s="60">
        <f>BGR!$AA$20</f>
        <v>31.77</v>
      </c>
      <c r="M7" s="52">
        <f>BGR!$B$26</f>
        <v>0</v>
      </c>
      <c r="N7" s="52">
        <f>BGR!$M$26</f>
        <v>0</v>
      </c>
      <c r="O7" s="52">
        <f>BGR!$S$26</f>
        <v>98.636266666666657</v>
      </c>
      <c r="P7" s="52">
        <f>BGR!$F$26</f>
        <v>0</v>
      </c>
      <c r="Q7" s="52">
        <f>BGR!$P$26+BGR!$P$27</f>
        <v>0</v>
      </c>
      <c r="R7" s="52">
        <f>BGR!$V$26+BGR!$V$27</f>
        <v>12.213376</v>
      </c>
      <c r="S7" s="52" t="str">
        <f>BGR!$Y$26</f>
        <v>NO</v>
      </c>
      <c r="T7" s="60">
        <f>BGR!$AA$26</f>
        <v>6.88</v>
      </c>
      <c r="U7" s="52">
        <f>BGR!$S$28</f>
        <v>0</v>
      </c>
      <c r="V7" s="52">
        <f>BGR!$V$28</f>
        <v>0</v>
      </c>
      <c r="W7" s="52">
        <f>BGR!$W$28</f>
        <v>0</v>
      </c>
      <c r="X7" s="52">
        <f>BGR!$AA$29</f>
        <v>0</v>
      </c>
      <c r="Y7" s="63">
        <f t="shared" si="0"/>
        <v>0</v>
      </c>
      <c r="Z7" s="52">
        <f t="shared" si="0"/>
        <v>0</v>
      </c>
      <c r="AA7" s="52">
        <f t="shared" si="12"/>
        <v>1055.0191666666667</v>
      </c>
      <c r="AB7" s="52">
        <f t="shared" si="1"/>
        <v>0</v>
      </c>
      <c r="AC7" s="52">
        <f t="shared" si="2"/>
        <v>0</v>
      </c>
      <c r="AD7" s="52">
        <f t="shared" si="13"/>
        <v>64.030245999999991</v>
      </c>
      <c r="AE7" s="52">
        <f t="shared" si="3"/>
        <v>154.59872182857228</v>
      </c>
      <c r="AF7" s="52">
        <f t="shared" si="3"/>
        <v>0</v>
      </c>
      <c r="AG7" s="52">
        <f t="shared" si="14"/>
        <v>176.57320999999999</v>
      </c>
      <c r="AH7" s="52">
        <f t="shared" ref="AH7:AJ11" si="15">Y7+AB7+AE7</f>
        <v>154.59872182857228</v>
      </c>
      <c r="AI7" s="52">
        <f t="shared" si="15"/>
        <v>0</v>
      </c>
      <c r="AJ7" s="52">
        <f t="shared" si="15"/>
        <v>1295.6226226666668</v>
      </c>
      <c r="AK7" s="52">
        <v>0</v>
      </c>
      <c r="AL7" s="52">
        <f t="shared" ref="AL7:AL37" si="16">L7+T7+X7</f>
        <v>38.65</v>
      </c>
      <c r="AM7" s="52">
        <f>BGR!$Y$16+BGR!$Y$22</f>
        <v>6231.471903544445</v>
      </c>
      <c r="AN7" s="60">
        <f t="shared" si="5"/>
        <v>0.62023869477797022</v>
      </c>
      <c r="AO7" s="52">
        <f>BGR!$Y$16+BGR!$AA$20+BGR!$Y$22+BGR!$AA$26+BGR!$AA$29</f>
        <v>6270.1219035444446</v>
      </c>
      <c r="AP7" s="60">
        <f t="shared" si="6"/>
        <v>0.61641544765104961</v>
      </c>
      <c r="AQ7" s="52">
        <f>BGR!$I$4+BGR!$I$16+BGR!$I$22</f>
        <v>5534.0252432986099</v>
      </c>
      <c r="AR7" s="60">
        <f t="shared" si="7"/>
        <v>23.411939152890422</v>
      </c>
      <c r="AS7" s="52">
        <f>BGR!$I$4+BGR!$I$16+BGR!$I$22-AH7+AJ7</f>
        <v>6675.0491441367039</v>
      </c>
      <c r="AT7" s="60">
        <f t="shared" si="8"/>
        <v>19.409933840033652</v>
      </c>
      <c r="AU7" s="52">
        <f>BGR!$I$3</f>
        <v>49354.97857592591</v>
      </c>
      <c r="AV7" s="52">
        <f t="shared" si="9"/>
        <v>2.6251102929231909</v>
      </c>
      <c r="AW7" s="63">
        <f t="shared" si="10"/>
        <v>50496.002476764006</v>
      </c>
      <c r="AX7" s="60">
        <f t="shared" si="11"/>
        <v>2.5657924570620301</v>
      </c>
      <c r="AY7" s="53"/>
    </row>
    <row r="8" spans="1:51" s="19" customFormat="1" x14ac:dyDescent="0.35">
      <c r="A8" s="79" t="s">
        <v>67</v>
      </c>
      <c r="B8" s="18">
        <f>CYP!$G$9</f>
        <v>0</v>
      </c>
      <c r="C8" s="18">
        <f>(CYP!$Q$20+CYP!$Q$26)</f>
        <v>0</v>
      </c>
      <c r="D8" s="11">
        <f>(CYP!$W$20+CYP!$W$26)</f>
        <v>0</v>
      </c>
      <c r="E8" s="18">
        <f>CYP!$B$20</f>
        <v>0</v>
      </c>
      <c r="F8" s="18">
        <f>CYP!$M$20</f>
        <v>0</v>
      </c>
      <c r="G8" s="18">
        <f>CYP!$S$20</f>
        <v>0</v>
      </c>
      <c r="H8" s="18">
        <f>CYP!$F$20</f>
        <v>0</v>
      </c>
      <c r="I8" s="18">
        <f>CYP!$P$20+CYP!$P$21</f>
        <v>0</v>
      </c>
      <c r="J8" s="18">
        <f>CYP!$V$20+CYP!$V$21</f>
        <v>0</v>
      </c>
      <c r="K8" s="18" t="str">
        <f>CYP!$Y$20</f>
        <v>NO</v>
      </c>
      <c r="L8" s="11">
        <f>CYP!$AA$20</f>
        <v>0</v>
      </c>
      <c r="M8" s="18">
        <f>CYP!$B$26</f>
        <v>0</v>
      </c>
      <c r="N8" s="18">
        <f>CYP!$M$26</f>
        <v>0</v>
      </c>
      <c r="O8" s="18">
        <f>CYP!$S$26</f>
        <v>0</v>
      </c>
      <c r="P8" s="18">
        <f>CYP!$F$26</f>
        <v>0</v>
      </c>
      <c r="Q8" s="18">
        <f>CYP!$P$26+CYP!$P$27</f>
        <v>0</v>
      </c>
      <c r="R8" s="18">
        <f>CYP!$V$26+CYP!$V$27</f>
        <v>0</v>
      </c>
      <c r="S8" s="18" t="str">
        <f>CYP!$Y$26</f>
        <v>NO</v>
      </c>
      <c r="T8" s="11">
        <f>CYP!$AA$26</f>
        <v>0</v>
      </c>
      <c r="U8" s="18">
        <f>CYP!$S$28</f>
        <v>0</v>
      </c>
      <c r="V8" s="18">
        <f>CYP!$V$28</f>
        <v>0</v>
      </c>
      <c r="W8" s="18">
        <f>CYP!$W$28</f>
        <v>0</v>
      </c>
      <c r="X8" s="18">
        <f>CYP!$AA$29</f>
        <v>0</v>
      </c>
      <c r="Y8" s="17">
        <f t="shared" si="0"/>
        <v>0</v>
      </c>
      <c r="Z8" s="18">
        <f t="shared" si="0"/>
        <v>0</v>
      </c>
      <c r="AA8" s="18">
        <f t="shared" si="12"/>
        <v>0</v>
      </c>
      <c r="AB8" s="18">
        <f t="shared" si="1"/>
        <v>0</v>
      </c>
      <c r="AC8" s="18">
        <f t="shared" si="2"/>
        <v>0</v>
      </c>
      <c r="AD8" s="18">
        <f t="shared" si="13"/>
        <v>0</v>
      </c>
      <c r="AE8" s="18">
        <f t="shared" si="3"/>
        <v>0</v>
      </c>
      <c r="AF8" s="18">
        <f t="shared" si="3"/>
        <v>0</v>
      </c>
      <c r="AG8" s="18">
        <f t="shared" si="14"/>
        <v>0</v>
      </c>
      <c r="AH8" s="18">
        <f t="shared" si="15"/>
        <v>0</v>
      </c>
      <c r="AI8" s="18">
        <f t="shared" si="15"/>
        <v>0</v>
      </c>
      <c r="AJ8" s="18">
        <f t="shared" si="15"/>
        <v>0</v>
      </c>
      <c r="AK8" s="18">
        <v>0</v>
      </c>
      <c r="AL8" s="18">
        <f t="shared" si="16"/>
        <v>0</v>
      </c>
      <c r="AM8" s="18">
        <f>CYP!$Y$16+CYP!$Y$22</f>
        <v>377.39911553362708</v>
      </c>
      <c r="AN8" s="11">
        <f t="shared" si="5"/>
        <v>0</v>
      </c>
      <c r="AO8" s="18">
        <f>CYP!$Y$16+CYP!$AA$20+CYP!$Y$22+CYP!$AA$26+CYP!$AA$29</f>
        <v>377.39911553362708</v>
      </c>
      <c r="AP8" s="11">
        <f t="shared" si="6"/>
        <v>0</v>
      </c>
      <c r="AQ8" s="18">
        <f>CYP!$I$4+CYP!$I$16+CYP!$I$22</f>
        <v>220.90488034851094</v>
      </c>
      <c r="AR8" s="11">
        <f t="shared" si="7"/>
        <v>0</v>
      </c>
      <c r="AS8" s="18">
        <f>CYP!$I$4+CYP!$I$16+CYP!$I$22-AH8+AJ8</f>
        <v>220.90488034851094</v>
      </c>
      <c r="AT8" s="11">
        <f t="shared" si="8"/>
        <v>0</v>
      </c>
      <c r="AU8" s="18">
        <f>CYP!$I$3</f>
        <v>8412.3942327708701</v>
      </c>
      <c r="AV8" s="18">
        <f t="shared" si="9"/>
        <v>0</v>
      </c>
      <c r="AW8" s="17">
        <f t="shared" si="10"/>
        <v>8412.3942327708701</v>
      </c>
      <c r="AX8" s="11">
        <f t="shared" si="11"/>
        <v>0</v>
      </c>
      <c r="AY8" s="53"/>
    </row>
    <row r="9" spans="1:51" s="19" customFormat="1" x14ac:dyDescent="0.35">
      <c r="A9" s="73" t="s">
        <v>69</v>
      </c>
      <c r="B9" s="52">
        <f>CZE!$G$9</f>
        <v>0</v>
      </c>
      <c r="C9" s="52">
        <f>(CZE!$Q$20+CZE!$Q$26)</f>
        <v>0</v>
      </c>
      <c r="D9" s="60">
        <f>(CZE!$W$20+CZE!$W$26)</f>
        <v>12.211767857142858</v>
      </c>
      <c r="E9" s="52">
        <f>CZE!$B$20</f>
        <v>0</v>
      </c>
      <c r="F9" s="52">
        <f>CZE!$M$20</f>
        <v>0</v>
      </c>
      <c r="G9" s="52">
        <f>CZE!$S$20</f>
        <v>0</v>
      </c>
      <c r="H9" s="52">
        <f>CZE!$F$20</f>
        <v>0</v>
      </c>
      <c r="I9" s="52">
        <f>CZE!$P$20+CZE!$P$21</f>
        <v>0</v>
      </c>
      <c r="J9" s="52">
        <f>CZE!$V$20+CZE!$V$21</f>
        <v>0</v>
      </c>
      <c r="K9" s="52" t="str">
        <f>CZE!$Y$20</f>
        <v>NO</v>
      </c>
      <c r="L9" s="60">
        <f>CZE!$AA$20</f>
        <v>0</v>
      </c>
      <c r="M9" s="52">
        <f>CZE!$B$26</f>
        <v>0</v>
      </c>
      <c r="N9" s="52">
        <f>CZE!$M$26</f>
        <v>0</v>
      </c>
      <c r="O9" s="52">
        <f>CZE!$S$26</f>
        <v>93.655833333333348</v>
      </c>
      <c r="P9" s="52">
        <f>CZE!$F$26</f>
        <v>0</v>
      </c>
      <c r="Q9" s="52">
        <f>CZE!$P$26+CZE!$P$27</f>
        <v>0</v>
      </c>
      <c r="R9" s="52">
        <f>CZE!$V$26+CZE!$V$27</f>
        <v>7.9135000000000009</v>
      </c>
      <c r="S9" s="52" t="str">
        <f>CZE!$Y$26</f>
        <v>NO</v>
      </c>
      <c r="T9" s="60">
        <f>CZE!$AA$26</f>
        <v>4.25</v>
      </c>
      <c r="U9" s="52">
        <f>CZE!$S$28</f>
        <v>0</v>
      </c>
      <c r="V9" s="52">
        <f>CZE!$V$28</f>
        <v>0</v>
      </c>
      <c r="W9" s="52">
        <f>CZE!$W$28</f>
        <v>0</v>
      </c>
      <c r="X9" s="52">
        <f>CZE!$AA$29</f>
        <v>0</v>
      </c>
      <c r="Y9" s="63">
        <f t="shared" si="0"/>
        <v>0</v>
      </c>
      <c r="Z9" s="52">
        <f t="shared" si="0"/>
        <v>0</v>
      </c>
      <c r="AA9" s="52">
        <f t="shared" si="12"/>
        <v>93.655833333333348</v>
      </c>
      <c r="AB9" s="52">
        <f t="shared" si="1"/>
        <v>0</v>
      </c>
      <c r="AC9" s="52">
        <f t="shared" si="2"/>
        <v>0</v>
      </c>
      <c r="AD9" s="52">
        <f t="shared" si="13"/>
        <v>7.9135000000000009</v>
      </c>
      <c r="AE9" s="52">
        <f t="shared" si="3"/>
        <v>0</v>
      </c>
      <c r="AF9" s="52">
        <f t="shared" si="3"/>
        <v>0</v>
      </c>
      <c r="AG9" s="52">
        <f t="shared" si="14"/>
        <v>12.211767857142858</v>
      </c>
      <c r="AH9" s="52">
        <f t="shared" si="15"/>
        <v>0</v>
      </c>
      <c r="AI9" s="52">
        <f t="shared" si="15"/>
        <v>0</v>
      </c>
      <c r="AJ9" s="52">
        <f t="shared" si="15"/>
        <v>113.78110119047621</v>
      </c>
      <c r="AK9" s="52">
        <v>0</v>
      </c>
      <c r="AL9" s="52">
        <f t="shared" si="16"/>
        <v>4.25</v>
      </c>
      <c r="AM9" s="52">
        <f>CZE!$Y$16+CZE!$Y$22</f>
        <v>4203.7257</v>
      </c>
      <c r="AN9" s="60">
        <f t="shared" si="5"/>
        <v>0.10110079256598498</v>
      </c>
      <c r="AO9" s="52">
        <f>CZE!$Y$16+CZE!$AA$20+CZE!$Y$22+CZE!$AA$26+CZE!$AA$29</f>
        <v>4207.9757</v>
      </c>
      <c r="AP9" s="60">
        <f t="shared" si="6"/>
        <v>0.1009986820979028</v>
      </c>
      <c r="AQ9" s="52">
        <f>CZE!$I$4+CZE!$I$16+CZE!$I$22</f>
        <v>8423.7975771268739</v>
      </c>
      <c r="AR9" s="60">
        <f t="shared" si="7"/>
        <v>1.3507102960240389</v>
      </c>
      <c r="AS9" s="52">
        <f>CZE!$I$4+CZE!$I$16+CZE!$I$22-AH9+AJ9</f>
        <v>8537.5786783173498</v>
      </c>
      <c r="AT9" s="60">
        <f t="shared" si="8"/>
        <v>1.3327092549020121</v>
      </c>
      <c r="AU9" s="52">
        <f>CZE!$I$3</f>
        <v>133243.74670105378</v>
      </c>
      <c r="AV9" s="52">
        <f t="shared" si="9"/>
        <v>8.5393201562964122E-2</v>
      </c>
      <c r="AW9" s="63">
        <f t="shared" si="10"/>
        <v>133357.52780224427</v>
      </c>
      <c r="AX9" s="60">
        <f t="shared" si="11"/>
        <v>8.5320343789817454E-2</v>
      </c>
      <c r="AY9" s="53"/>
    </row>
    <row r="10" spans="1:51" s="19" customFormat="1" x14ac:dyDescent="0.35">
      <c r="A10" s="79" t="s">
        <v>70</v>
      </c>
      <c r="B10" s="18">
        <f>DEU!$G$9</f>
        <v>2658.6367444793545</v>
      </c>
      <c r="C10" s="18">
        <f>(DEU!$Q$20+DEU!$Q$26)</f>
        <v>3440.5089124999995</v>
      </c>
      <c r="D10" s="11">
        <f>(DEU!$W$20+DEU!$W$26)</f>
        <v>3440.5089124999995</v>
      </c>
      <c r="E10" s="18">
        <f>DEU!$B$20</f>
        <v>10161.4689</v>
      </c>
      <c r="F10" s="18">
        <f>DEU!$M$20</f>
        <v>10161.4689</v>
      </c>
      <c r="G10" s="18">
        <f>DEU!$S$20</f>
        <v>10161.4689</v>
      </c>
      <c r="H10" s="18">
        <f>DEU!$F$20</f>
        <v>222.38905</v>
      </c>
      <c r="I10" s="18">
        <f>DEU!$P$20+DEU!$P$21</f>
        <v>249.07573600000001</v>
      </c>
      <c r="J10" s="18">
        <f>DEU!$V$20+DEU!$V$21</f>
        <v>249.07573600000001</v>
      </c>
      <c r="K10" s="18">
        <f>DEU!$Y$20</f>
        <v>342.137</v>
      </c>
      <c r="L10" s="11">
        <f>DEU!$AA$20</f>
        <v>342.137</v>
      </c>
      <c r="M10" s="18">
        <f>DEU!$B$26</f>
        <v>23999.730349741923</v>
      </c>
      <c r="N10" s="18">
        <f>DEU!$M$26</f>
        <v>23999.729830013661</v>
      </c>
      <c r="O10" s="18">
        <f>DEU!$S$26</f>
        <v>23999.729830013664</v>
      </c>
      <c r="P10" s="18">
        <f>DEU!$F$26</f>
        <v>507.10105003991447</v>
      </c>
      <c r="Q10" s="18">
        <f>DEU!$P$26+DEU!$P$27</f>
        <v>567.95110777159994</v>
      </c>
      <c r="R10" s="18">
        <f>DEU!$V$26+DEU!$V$27</f>
        <v>567.95110777160005</v>
      </c>
      <c r="S10" s="18">
        <f>DEU!$Y$26</f>
        <v>970.48299999999983</v>
      </c>
      <c r="T10" s="11">
        <f>DEU!$AA$26</f>
        <v>970.48299999999995</v>
      </c>
      <c r="U10" s="18">
        <f>DEU!$S$28</f>
        <v>0</v>
      </c>
      <c r="V10" s="18">
        <f>DEU!$V$28</f>
        <v>0</v>
      </c>
      <c r="W10" s="18">
        <f>DEU!$W$28</f>
        <v>0</v>
      </c>
      <c r="X10" s="18">
        <f>DEU!$AA$29</f>
        <v>0</v>
      </c>
      <c r="Y10" s="17">
        <f t="shared" si="0"/>
        <v>34161.199249741927</v>
      </c>
      <c r="Z10" s="18">
        <f t="shared" si="0"/>
        <v>34161.198730013661</v>
      </c>
      <c r="AA10" s="18">
        <f t="shared" si="12"/>
        <v>34161.198730013668</v>
      </c>
      <c r="AB10" s="18">
        <f t="shared" si="1"/>
        <v>729.49010003991452</v>
      </c>
      <c r="AC10" s="18">
        <f t="shared" si="2"/>
        <v>817.02684377159994</v>
      </c>
      <c r="AD10" s="18">
        <f t="shared" si="13"/>
        <v>817.02684377160006</v>
      </c>
      <c r="AE10" s="18">
        <f t="shared" si="3"/>
        <v>2658.6367444793545</v>
      </c>
      <c r="AF10" s="18">
        <f t="shared" si="3"/>
        <v>3440.5089124999995</v>
      </c>
      <c r="AG10" s="18">
        <f t="shared" si="14"/>
        <v>3440.5089124999995</v>
      </c>
      <c r="AH10" s="18">
        <f t="shared" si="15"/>
        <v>37549.326094261196</v>
      </c>
      <c r="AI10" s="18">
        <f t="shared" si="15"/>
        <v>38418.734486285262</v>
      </c>
      <c r="AJ10" s="18">
        <f t="shared" si="15"/>
        <v>38418.73448628527</v>
      </c>
      <c r="AK10" s="18">
        <f>K10+S10</f>
        <v>1312.62</v>
      </c>
      <c r="AL10" s="18">
        <f t="shared" si="16"/>
        <v>1312.62</v>
      </c>
      <c r="AM10" s="18">
        <f>DEU!$Y$16+DEU!$Y$22</f>
        <v>19428.702000000001</v>
      </c>
      <c r="AN10" s="11">
        <f t="shared" si="5"/>
        <v>6.7560869480627161</v>
      </c>
      <c r="AO10" s="18">
        <f>DEU!$Y$16-DEU!$Y$20+DEU!$AA$20+DEU!$Y$22-DEU!$Y$26+DEU!$AA$26+DEU!$AA$29</f>
        <v>19428.702000000001</v>
      </c>
      <c r="AP10" s="11">
        <f t="shared" si="6"/>
        <v>6.7560869480627161</v>
      </c>
      <c r="AQ10" s="18">
        <f>DEU!$I$4+DEU!$I$16+DEU!$I$22</f>
        <v>95975.179638768546</v>
      </c>
      <c r="AR10" s="11">
        <f t="shared" si="7"/>
        <v>40.029864628423447</v>
      </c>
      <c r="AS10" s="18">
        <f>DEU!$I$4+DEU!$I$16+DEU!$I$22-AH10+AJ10</f>
        <v>96844.588030792627</v>
      </c>
      <c r="AT10" s="11">
        <f t="shared" si="8"/>
        <v>39.67050226293459</v>
      </c>
      <c r="AU10" s="18">
        <f>DEU!$I$3</f>
        <v>831436.94674358377</v>
      </c>
      <c r="AV10" s="18">
        <f t="shared" si="9"/>
        <v>4.6207634429473652</v>
      </c>
      <c r="AW10" s="17">
        <f t="shared" si="10"/>
        <v>832306.35513560777</v>
      </c>
      <c r="AX10" s="11">
        <f t="shared" si="11"/>
        <v>4.6159366979753145</v>
      </c>
      <c r="AY10" s="53"/>
    </row>
    <row r="11" spans="1:51" s="19" customFormat="1" x14ac:dyDescent="0.35">
      <c r="A11" s="73" t="s">
        <v>71</v>
      </c>
      <c r="B11" s="52">
        <f>DNK!$G$9</f>
        <v>652.10623874681687</v>
      </c>
      <c r="C11" s="52">
        <f>(DNK!$Q$20+DNK!$Q$26)</f>
        <v>838.13411702963333</v>
      </c>
      <c r="D11" s="60">
        <f>(DNK!$W$20+DNK!$W$26)</f>
        <v>838.13409618949993</v>
      </c>
      <c r="E11" s="52">
        <f>DNK!$B$20</f>
        <v>3552.5962557829998</v>
      </c>
      <c r="F11" s="52">
        <f>DNK!$M$20</f>
        <v>3835.9230736797558</v>
      </c>
      <c r="G11" s="52">
        <f>DNK!$S$20</f>
        <v>3835.9229696333332</v>
      </c>
      <c r="H11" s="52">
        <f>DNK!$F$20</f>
        <v>141.04061841474999</v>
      </c>
      <c r="I11" s="52">
        <f>DNK!$P$20+DNK!$P$21</f>
        <v>207.83049052724002</v>
      </c>
      <c r="J11" s="52">
        <f>DNK!$V$20+DNK!$V$21</f>
        <v>207.83048489000001</v>
      </c>
      <c r="K11" s="52">
        <f>DNK!$Y$20</f>
        <v>127.425193456309</v>
      </c>
      <c r="L11" s="60">
        <f>DNK!$AA$20</f>
        <v>127.42519</v>
      </c>
      <c r="M11" s="52">
        <f>DNK!$B$26</f>
        <v>1232.7814489442333</v>
      </c>
      <c r="N11" s="52">
        <f>DNK!$M$26</f>
        <v>1137.4256294258366</v>
      </c>
      <c r="O11" s="52">
        <f>DNK!$S$26</f>
        <v>1137.4256130966667</v>
      </c>
      <c r="P11" s="52">
        <f>DNK!$F$26</f>
        <v>73.489025370000007</v>
      </c>
      <c r="Q11" s="52">
        <f>DNK!$P$26+DNK!$P$27</f>
        <v>96.107390197742006</v>
      </c>
      <c r="R11" s="52">
        <f>DNK!$V$26+DNK!$V$27</f>
        <v>96.107388818000004</v>
      </c>
      <c r="S11" s="52">
        <f>DNK!$Y$26</f>
        <v>51.615139741</v>
      </c>
      <c r="T11" s="60">
        <f>DNK!$AA$26</f>
        <v>51.615138999999999</v>
      </c>
      <c r="U11" s="52">
        <f>DNK!$S$28</f>
        <v>0</v>
      </c>
      <c r="V11" s="52">
        <f>DNK!$V$28</f>
        <v>0</v>
      </c>
      <c r="W11" s="52">
        <f>DNK!$W$28</f>
        <v>0</v>
      </c>
      <c r="X11" s="52">
        <f>DNK!$AA$29</f>
        <v>0</v>
      </c>
      <c r="Y11" s="63">
        <f t="shared" si="0"/>
        <v>4785.3777047272333</v>
      </c>
      <c r="Z11" s="52">
        <f t="shared" si="0"/>
        <v>4973.348703105592</v>
      </c>
      <c r="AA11" s="52">
        <f t="shared" si="12"/>
        <v>4973.3485827300001</v>
      </c>
      <c r="AB11" s="52">
        <f t="shared" si="1"/>
        <v>214.52964378474999</v>
      </c>
      <c r="AC11" s="52">
        <f t="shared" si="2"/>
        <v>303.93788072498205</v>
      </c>
      <c r="AD11" s="52">
        <f t="shared" si="13"/>
        <v>303.93787370799998</v>
      </c>
      <c r="AE11" s="52">
        <f t="shared" si="3"/>
        <v>652.10623874681687</v>
      </c>
      <c r="AF11" s="52">
        <f t="shared" si="3"/>
        <v>838.13411702963333</v>
      </c>
      <c r="AG11" s="52">
        <f t="shared" si="14"/>
        <v>838.13409618949993</v>
      </c>
      <c r="AH11" s="52">
        <f t="shared" si="15"/>
        <v>5652.0135872587998</v>
      </c>
      <c r="AI11" s="52">
        <f t="shared" si="15"/>
        <v>6115.4207008602079</v>
      </c>
      <c r="AJ11" s="52">
        <f t="shared" si="15"/>
        <v>6115.4205526275</v>
      </c>
      <c r="AK11" s="52">
        <f>K11+S11</f>
        <v>179.040333197309</v>
      </c>
      <c r="AL11" s="52">
        <f t="shared" si="16"/>
        <v>179.04032899999999</v>
      </c>
      <c r="AM11" s="52">
        <f>DNK!$Y$16+DNK!$Y$22</f>
        <v>3233.9596249701199</v>
      </c>
      <c r="AN11" s="60">
        <f t="shared" si="5"/>
        <v>5.5362573984409043</v>
      </c>
      <c r="AO11" s="52">
        <f>DNK!$Y$16-DNK!$Y$20+DNK!$AA$20+DNK!$Y$22-DNK!$Y$26+DNK!$AA$26+DNK!$AA$29</f>
        <v>3233.9596207728109</v>
      </c>
      <c r="AP11" s="60">
        <f t="shared" si="6"/>
        <v>5.5362574056263316</v>
      </c>
      <c r="AQ11" s="52">
        <f>DNK!$I$4+DNK!$I$16+DNK!$I$22</f>
        <v>17127.511080419641</v>
      </c>
      <c r="AR11" s="60">
        <f t="shared" si="7"/>
        <v>35.705249431242322</v>
      </c>
      <c r="AS11" s="52">
        <f>DNK!$I$4+DNK!$I$16+DNK!$I$22-AH11+AJ11</f>
        <v>17590.918045788341</v>
      </c>
      <c r="AT11" s="60">
        <f t="shared" si="8"/>
        <v>34.764646942867586</v>
      </c>
      <c r="AU11" s="52">
        <f>DNK!$I$3</f>
        <v>56289.232139302905</v>
      </c>
      <c r="AV11" s="52">
        <f t="shared" si="9"/>
        <v>10.864281355789755</v>
      </c>
      <c r="AW11" s="63">
        <f t="shared" si="10"/>
        <v>56752.639104671602</v>
      </c>
      <c r="AX11" s="60">
        <f t="shared" si="11"/>
        <v>10.77557035074358</v>
      </c>
      <c r="AY11" s="53"/>
    </row>
    <row r="12" spans="1:51" s="19" customFormat="1" x14ac:dyDescent="0.35">
      <c r="A12" s="79" t="s">
        <v>72</v>
      </c>
      <c r="B12" s="18">
        <f>ESP!$G$9</f>
        <v>0</v>
      </c>
      <c r="C12" s="18">
        <f>(ESP!$Q$20+ESP!$Q$26)</f>
        <v>0</v>
      </c>
      <c r="D12" s="11">
        <f>(ESP!$W$20+ESP!$W$26)</f>
        <v>37.353642857142859</v>
      </c>
      <c r="E12" s="18">
        <f>ESP!$B$20</f>
        <v>0</v>
      </c>
      <c r="F12" s="18">
        <f>ESP!$M$20</f>
        <v>0</v>
      </c>
      <c r="G12" s="18">
        <f>ESP!$S$20</f>
        <v>0</v>
      </c>
      <c r="H12" s="18">
        <f>ESP!$F$20</f>
        <v>0</v>
      </c>
      <c r="I12" s="18">
        <f>ESP!$P$20+ESP!$P$21</f>
        <v>0</v>
      </c>
      <c r="J12" s="18">
        <f>ESP!$V$20+ESP!$V$21</f>
        <v>0</v>
      </c>
      <c r="K12" s="18" t="str">
        <f>ESP!$Y$20</f>
        <v>NO</v>
      </c>
      <c r="L12" s="11">
        <f>ESP!$AA$20</f>
        <v>0</v>
      </c>
      <c r="M12" s="18">
        <f>ESP!$B$26</f>
        <v>0</v>
      </c>
      <c r="N12" s="18">
        <f>ESP!$M$26</f>
        <v>0</v>
      </c>
      <c r="O12" s="18">
        <f>ESP!$S$26</f>
        <v>286.47666666666663</v>
      </c>
      <c r="P12" s="18">
        <f>ESP!$F$26</f>
        <v>0</v>
      </c>
      <c r="Q12" s="18">
        <f>ESP!$P$26+ESP!$P$27</f>
        <v>0</v>
      </c>
      <c r="R12" s="18">
        <f>ESP!$V$26+ESP!$V$27</f>
        <v>24.206</v>
      </c>
      <c r="S12" s="18" t="str">
        <f>ESP!$Y$26</f>
        <v>NO</v>
      </c>
      <c r="T12" s="11">
        <f>ESP!$AA$26</f>
        <v>13</v>
      </c>
      <c r="U12" s="18">
        <f>ESP!$S$28</f>
        <v>0</v>
      </c>
      <c r="V12" s="18">
        <f>ESP!$V$28</f>
        <v>0</v>
      </c>
      <c r="W12" s="18">
        <f>ESP!$W$28</f>
        <v>0</v>
      </c>
      <c r="X12" s="18">
        <f>ESP!$AA$29</f>
        <v>0</v>
      </c>
      <c r="Y12" s="17">
        <f t="shared" ref="Y12:Y22" si="17">E12+M12</f>
        <v>0</v>
      </c>
      <c r="Z12" s="18">
        <f t="shared" ref="Z12:Z24" si="18">F12+N12</f>
        <v>0</v>
      </c>
      <c r="AA12" s="18">
        <f t="shared" si="12"/>
        <v>286.47666666666663</v>
      </c>
      <c r="AB12" s="18">
        <f t="shared" ref="AB12:AB24" si="19">H12+P12</f>
        <v>0</v>
      </c>
      <c r="AC12" s="18">
        <f t="shared" si="2"/>
        <v>0</v>
      </c>
      <c r="AD12" s="18">
        <f t="shared" si="13"/>
        <v>24.206</v>
      </c>
      <c r="AE12" s="18">
        <f t="shared" ref="AE12:AE24" si="20">B12</f>
        <v>0</v>
      </c>
      <c r="AF12" s="18">
        <f t="shared" ref="AF12:AF24" si="21">C12</f>
        <v>0</v>
      </c>
      <c r="AG12" s="18">
        <f t="shared" si="14"/>
        <v>37.353642857142859</v>
      </c>
      <c r="AH12" s="18">
        <f t="shared" ref="AH12:AH24" si="22">Y12+AB12+AE12</f>
        <v>0</v>
      </c>
      <c r="AI12" s="18">
        <f t="shared" ref="AI12:AI24" si="23">Z12+AC12+AF12</f>
        <v>0</v>
      </c>
      <c r="AJ12" s="18">
        <f t="shared" ref="AJ12:AJ24" si="24">AA12+AD12+AG12</f>
        <v>348.03630952380951</v>
      </c>
      <c r="AK12" s="18">
        <v>0</v>
      </c>
      <c r="AL12" s="18">
        <f t="shared" si="16"/>
        <v>13</v>
      </c>
      <c r="AM12" s="18">
        <f>ESP!$Y$16+ESP!$Y$22</f>
        <v>31919.384617552671</v>
      </c>
      <c r="AN12" s="11">
        <f t="shared" si="5"/>
        <v>4.0727602225925176E-2</v>
      </c>
      <c r="AO12" s="18">
        <f>ESP!$Y$16+ESP!$AA$20+ESP!$Y$22+ESP!$AA$26+ESP!$AA$29</f>
        <v>31932.384617552671</v>
      </c>
      <c r="AP12" s="11">
        <f t="shared" si="6"/>
        <v>4.0711021602984607E-2</v>
      </c>
      <c r="AQ12" s="18">
        <f>ESP!$I$4+ESP!$I$16+ESP!$I$22</f>
        <v>36055.567909847196</v>
      </c>
      <c r="AR12" s="11">
        <f t="shared" si="7"/>
        <v>0.96527756931754427</v>
      </c>
      <c r="AS12" s="18">
        <f>ESP!$I$4+ESP!$I$16+ESP!$I$22-AH12+AJ12</f>
        <v>36403.604219371002</v>
      </c>
      <c r="AT12" s="11">
        <f t="shared" si="8"/>
        <v>0.95604904235996846</v>
      </c>
      <c r="AU12" s="18">
        <f>ESP!$I$3</f>
        <v>296158.86266027967</v>
      </c>
      <c r="AV12" s="18">
        <f t="shared" si="9"/>
        <v>0.11751676326601708</v>
      </c>
      <c r="AW12" s="17">
        <f t="shared" si="10"/>
        <v>296506.89896980347</v>
      </c>
      <c r="AX12" s="11">
        <f t="shared" si="11"/>
        <v>0.11737882347191315</v>
      </c>
      <c r="AY12" s="53"/>
    </row>
    <row r="13" spans="1:51" s="19" customFormat="1" x14ac:dyDescent="0.35">
      <c r="A13" s="73" t="s">
        <v>73</v>
      </c>
      <c r="B13" s="52">
        <f>EST!$G$9</f>
        <v>146.44605485714158</v>
      </c>
      <c r="C13" s="52">
        <f>(EST!$Q$20+EST!$Q$26)</f>
        <v>291.73178414285712</v>
      </c>
      <c r="D13" s="60">
        <f>(EST!$W$20+EST!$W$26)</f>
        <v>291.69863642857143</v>
      </c>
      <c r="E13" s="52">
        <f>EST!$B$20</f>
        <v>635.07913333333329</v>
      </c>
      <c r="F13" s="52">
        <f>EST!$M$20</f>
        <v>854.7540466666668</v>
      </c>
      <c r="G13" s="52">
        <f>EST!$S$20</f>
        <v>854.63363333333336</v>
      </c>
      <c r="H13" s="52">
        <f>EST!$F$20</f>
        <v>0</v>
      </c>
      <c r="I13" s="52">
        <f>EST!$P$20+EST!$P$21</f>
        <v>46.310613999999994</v>
      </c>
      <c r="J13" s="52">
        <f>EST!$V$20+EST!$V$21</f>
        <v>46.304090000000002</v>
      </c>
      <c r="K13" s="52">
        <f>EST!$Y$20</f>
        <v>28.393999999999998</v>
      </c>
      <c r="L13" s="60">
        <f>EST!$AA$20</f>
        <v>28.39</v>
      </c>
      <c r="M13" s="52">
        <f>EST!$B$26</f>
        <v>88.997264634475087</v>
      </c>
      <c r="N13" s="52">
        <f>EST!$M$26</f>
        <v>1058.5092466666665</v>
      </c>
      <c r="O13" s="52">
        <f>EST!$S$26</f>
        <v>1058.4211</v>
      </c>
      <c r="P13" s="52">
        <f>EST!$F$26</f>
        <v>0</v>
      </c>
      <c r="Q13" s="52">
        <f>EST!$P$26+EST!$P$27</f>
        <v>89.439307999999997</v>
      </c>
      <c r="R13" s="52">
        <f>EST!$V$26+EST!$V$27</f>
        <v>89.431860000000015</v>
      </c>
      <c r="S13" s="52">
        <f>EST!$Y$26</f>
        <v>48.033999999999999</v>
      </c>
      <c r="T13" s="60">
        <f>EST!$AA$26</f>
        <v>48.03</v>
      </c>
      <c r="U13" s="52">
        <f>EST!$S$28</f>
        <v>2429.7782666666667</v>
      </c>
      <c r="V13" s="52">
        <f>EST!$V$28</f>
        <v>300.86089599999991</v>
      </c>
      <c r="W13" s="52">
        <f>EST!$W$28</f>
        <v>112.92210285714286</v>
      </c>
      <c r="X13" s="52">
        <f>EST!$AA$29</f>
        <v>169.48</v>
      </c>
      <c r="Y13" s="63">
        <f t="shared" si="17"/>
        <v>724.07639796780836</v>
      </c>
      <c r="Z13" s="52">
        <f t="shared" si="18"/>
        <v>1913.2632933333334</v>
      </c>
      <c r="AA13" s="52">
        <f t="shared" si="12"/>
        <v>4342.8330000000005</v>
      </c>
      <c r="AB13" s="52">
        <f t="shared" si="19"/>
        <v>0</v>
      </c>
      <c r="AC13" s="52">
        <f t="shared" si="2"/>
        <v>135.749922</v>
      </c>
      <c r="AD13" s="52">
        <f t="shared" si="13"/>
        <v>436.59684599999991</v>
      </c>
      <c r="AE13" s="52">
        <f t="shared" si="20"/>
        <v>146.44605485714158</v>
      </c>
      <c r="AF13" s="52">
        <f t="shared" si="21"/>
        <v>291.73178414285712</v>
      </c>
      <c r="AG13" s="52">
        <f t="shared" si="14"/>
        <v>404.62073928571431</v>
      </c>
      <c r="AH13" s="52">
        <f t="shared" si="22"/>
        <v>870.52245282494994</v>
      </c>
      <c r="AI13" s="52">
        <f t="shared" si="23"/>
        <v>2340.7449994761905</v>
      </c>
      <c r="AJ13" s="52">
        <f t="shared" si="24"/>
        <v>5184.050585285715</v>
      </c>
      <c r="AK13" s="52">
        <f>K13+S13</f>
        <v>76.427999999999997</v>
      </c>
      <c r="AL13" s="52">
        <f t="shared" si="16"/>
        <v>245.89999999999998</v>
      </c>
      <c r="AM13" s="52">
        <f>EST!$Y$16+EST!$Y$22</f>
        <v>1278.6749999999997</v>
      </c>
      <c r="AN13" s="60">
        <f t="shared" si="5"/>
        <v>19.230844428803255</v>
      </c>
      <c r="AO13" s="52">
        <f>EST!$Y$16-EST!$Y$20+EST!$AA$20+EST!$Y$22-EST!$Y$26+EST!$AA$26+EST!$AA$29</f>
        <v>1448.1469999999997</v>
      </c>
      <c r="AP13" s="60">
        <f t="shared" si="6"/>
        <v>16.980320368028938</v>
      </c>
      <c r="AQ13" s="52">
        <f>EST!$I$4+EST!$I$16+EST!$I$22</f>
        <v>1783.7129938475002</v>
      </c>
      <c r="AR13" s="60">
        <f t="shared" si="7"/>
        <v>290.63255149045182</v>
      </c>
      <c r="AS13" s="52">
        <f>EST!$I$4+EST!$I$16+EST!$I$22-AH13+AJ13</f>
        <v>6097.2411263082649</v>
      </c>
      <c r="AT13" s="60">
        <f t="shared" si="8"/>
        <v>85.022889498623698</v>
      </c>
      <c r="AU13" s="52">
        <f>EST!$I$3</f>
        <v>17983.963586755508</v>
      </c>
      <c r="AV13" s="52">
        <f t="shared" si="9"/>
        <v>28.825962420784524</v>
      </c>
      <c r="AW13" s="63">
        <f t="shared" si="10"/>
        <v>22297.491719216272</v>
      </c>
      <c r="AX13" s="60">
        <f t="shared" si="11"/>
        <v>23.249478688304801</v>
      </c>
      <c r="AY13" s="53"/>
    </row>
    <row r="14" spans="1:51" s="19" customFormat="1" x14ac:dyDescent="0.35">
      <c r="A14" s="79" t="s">
        <v>74</v>
      </c>
      <c r="B14" s="18">
        <f>FIN!$G$9</f>
        <v>1501.373345406236</v>
      </c>
      <c r="C14" s="18">
        <f>(FIN!$Q$20+FIN!$Q$26)</f>
        <v>1335.1138266885255</v>
      </c>
      <c r="D14" s="11">
        <f>(FIN!$W$20+FIN!$W$26)</f>
        <v>1335.1138266885255</v>
      </c>
      <c r="E14" s="18">
        <f>FIN!$B$20</f>
        <v>6314.6783333333333</v>
      </c>
      <c r="F14" s="18">
        <f>FIN!$M$20</f>
        <v>6429.9408799999992</v>
      </c>
      <c r="G14" s="18">
        <f>FIN!$S$20</f>
        <v>6429.9408799999992</v>
      </c>
      <c r="H14" s="18">
        <f>FIN!$F$20</f>
        <v>0</v>
      </c>
      <c r="I14" s="18">
        <f>FIN!$P$20+FIN!$P$21</f>
        <v>428.16685799999993</v>
      </c>
      <c r="J14" s="18">
        <f>FIN!$V$20+FIN!$V$21</f>
        <v>428.16685799999993</v>
      </c>
      <c r="K14" s="18">
        <f>FIN!$Y$20</f>
        <v>262.51799999999997</v>
      </c>
      <c r="L14" s="11">
        <f>FIN!$AA$20</f>
        <v>262.51799999999997</v>
      </c>
      <c r="M14" s="18">
        <f>FIN!$B$26</f>
        <v>858.62699999999995</v>
      </c>
      <c r="N14" s="18">
        <f>FIN!$M$26</f>
        <v>888.06564000000014</v>
      </c>
      <c r="O14" s="18">
        <f>FIN!$S$26</f>
        <v>888.06564000000014</v>
      </c>
      <c r="P14" s="18">
        <f>FIN!$F$26</f>
        <v>0</v>
      </c>
      <c r="Q14" s="18">
        <f>FIN!$P$26+FIN!$P$27</f>
        <v>111.61526544</v>
      </c>
      <c r="R14" s="18">
        <f>FIN!$V$26+FIN!$V$27</f>
        <v>111.61526544</v>
      </c>
      <c r="S14" s="18">
        <f>FIN!$Y$26</f>
        <v>66.906000000000006</v>
      </c>
      <c r="T14" s="11">
        <f>FIN!$AA$26</f>
        <v>66.906000000000006</v>
      </c>
      <c r="U14" s="18">
        <f>FIN!$S$28</f>
        <v>0</v>
      </c>
      <c r="V14" s="18">
        <f>FIN!$V$28</f>
        <v>0</v>
      </c>
      <c r="W14" s="18">
        <f>FIN!$W$28</f>
        <v>0</v>
      </c>
      <c r="X14" s="18">
        <f>FIN!$AA$29</f>
        <v>0</v>
      </c>
      <c r="Y14" s="17">
        <f t="shared" si="17"/>
        <v>7173.3053333333337</v>
      </c>
      <c r="Z14" s="18">
        <f t="shared" si="18"/>
        <v>7318.006519999999</v>
      </c>
      <c r="AA14" s="18">
        <f t="shared" si="12"/>
        <v>7318.006519999999</v>
      </c>
      <c r="AB14" s="18">
        <f t="shared" si="19"/>
        <v>0</v>
      </c>
      <c r="AC14" s="18">
        <f t="shared" si="2"/>
        <v>539.78212343999996</v>
      </c>
      <c r="AD14" s="18">
        <f t="shared" si="13"/>
        <v>539.78212343999996</v>
      </c>
      <c r="AE14" s="18">
        <f t="shared" si="20"/>
        <v>1501.373345406236</v>
      </c>
      <c r="AF14" s="18">
        <f t="shared" si="21"/>
        <v>1335.1138266885255</v>
      </c>
      <c r="AG14" s="18">
        <f t="shared" si="14"/>
        <v>1335.1138266885255</v>
      </c>
      <c r="AH14" s="18">
        <f t="shared" si="22"/>
        <v>8674.6786787395704</v>
      </c>
      <c r="AI14" s="18">
        <f t="shared" si="23"/>
        <v>9192.9024701285234</v>
      </c>
      <c r="AJ14" s="18">
        <f t="shared" si="24"/>
        <v>9192.9024701285234</v>
      </c>
      <c r="AK14" s="18">
        <f>K14+S14</f>
        <v>329.42399999999998</v>
      </c>
      <c r="AL14" s="18">
        <f t="shared" si="16"/>
        <v>329.42399999999998</v>
      </c>
      <c r="AM14" s="18">
        <f>FIN!$Y$16+FIN!$Y$22</f>
        <v>2733.3139999999999</v>
      </c>
      <c r="AN14" s="11">
        <f t="shared" si="5"/>
        <v>12.052182808122302</v>
      </c>
      <c r="AO14" s="18">
        <f>FIN!$Y$16-FIN!$Y$20+FIN!$AA$20+FIN!$Y$22-FIN!$Y$26+FIN!$AA$26+FIN!$AA$29</f>
        <v>2733.3139999999999</v>
      </c>
      <c r="AP14" s="11">
        <f t="shared" si="6"/>
        <v>12.052182808122302</v>
      </c>
      <c r="AQ14" s="18">
        <f>FIN!$I$4+FIN!$I$16+FIN!$I$22</f>
        <v>15354.209704382125</v>
      </c>
      <c r="AR14" s="11">
        <f t="shared" si="7"/>
        <v>59.87219562010312</v>
      </c>
      <c r="AS14" s="18">
        <f>FIN!$I$4+FIN!$I$16+FIN!$I$22-AH14+AJ14</f>
        <v>15872.433495771078</v>
      </c>
      <c r="AT14" s="11">
        <f t="shared" si="8"/>
        <v>57.917410538074108</v>
      </c>
      <c r="AU14" s="18">
        <f>FIN!$I$3</f>
        <v>46091.243615736661</v>
      </c>
      <c r="AV14" s="18">
        <f t="shared" si="9"/>
        <v>19.945008528669522</v>
      </c>
      <c r="AW14" s="17">
        <f t="shared" si="10"/>
        <v>46609.467407125616</v>
      </c>
      <c r="AX14" s="11">
        <f t="shared" si="11"/>
        <v>19.723251479855186</v>
      </c>
      <c r="AY14" s="53"/>
    </row>
    <row r="15" spans="1:51" s="19" customFormat="1" x14ac:dyDescent="0.35">
      <c r="A15" s="73" t="s">
        <v>76</v>
      </c>
      <c r="B15" s="52">
        <f>FRA!$G$9</f>
        <v>522.13424446857232</v>
      </c>
      <c r="C15" s="52">
        <f>(FRA!$Q$20+FRA!$Q$26)</f>
        <v>603.89053425913619</v>
      </c>
      <c r="D15" s="60">
        <f>(FRA!$W$20+FRA!$W$26)</f>
        <v>603.89055700521419</v>
      </c>
      <c r="E15" s="52">
        <f>FRA!$B$20</f>
        <v>2423.1123920999999</v>
      </c>
      <c r="F15" s="52">
        <f>FRA!$M$20</f>
        <v>2421.4954441356435</v>
      </c>
      <c r="G15" s="52">
        <f>FRA!$S$20</f>
        <v>2421.4955765</v>
      </c>
      <c r="H15" s="52">
        <f>FRA!$F$20</f>
        <v>2.7825000000000003E-2</v>
      </c>
      <c r="I15" s="52">
        <f>FRA!$P$20+FRA!$P$21</f>
        <v>131.19673577849298</v>
      </c>
      <c r="J15" s="52">
        <f>FRA!$V$20+FRA!$V$21</f>
        <v>131.19674294999999</v>
      </c>
      <c r="K15" s="52">
        <f>FRA!$Y$20</f>
        <v>80.439445602999996</v>
      </c>
      <c r="L15" s="60">
        <f>FRA!$AA$20</f>
        <v>80.439449999999994</v>
      </c>
      <c r="M15" s="52">
        <f>FRA!$B$26</f>
        <v>842.53056247999996</v>
      </c>
      <c r="N15" s="52">
        <f>FRA!$M$26</f>
        <v>1291.7100540728268</v>
      </c>
      <c r="O15" s="52">
        <f>FRA!$S$26</f>
        <v>1291.7100459633332</v>
      </c>
      <c r="P15" s="52">
        <f>FRA!$F$26</f>
        <v>57.023789385000001</v>
      </c>
      <c r="Q15" s="52">
        <f>FRA!$P$26+FRA!$P$27</f>
        <v>109.14373562321602</v>
      </c>
      <c r="R15" s="52">
        <f>FRA!$V$26+FRA!$V$27</f>
        <v>109.14373493799999</v>
      </c>
      <c r="S15" s="52">
        <f>FRA!$Y$26</f>
        <v>58.616399368000003</v>
      </c>
      <c r="T15" s="60">
        <f>FRA!$AA$26</f>
        <v>58.616399000000001</v>
      </c>
      <c r="U15" s="52">
        <f>FRA!$S$28</f>
        <v>0</v>
      </c>
      <c r="V15" s="52">
        <f>FRA!$V$28</f>
        <v>0</v>
      </c>
      <c r="W15" s="52">
        <f>FRA!$W$28</f>
        <v>0</v>
      </c>
      <c r="X15" s="52">
        <f>FRA!$AA$29</f>
        <v>0</v>
      </c>
      <c r="Y15" s="63">
        <f t="shared" si="17"/>
        <v>3265.6429545799997</v>
      </c>
      <c r="Z15" s="52">
        <f t="shared" si="18"/>
        <v>3713.2054982084701</v>
      </c>
      <c r="AA15" s="52">
        <f t="shared" si="12"/>
        <v>3713.2056224633334</v>
      </c>
      <c r="AB15" s="52">
        <f t="shared" si="19"/>
        <v>57.051614385000001</v>
      </c>
      <c r="AC15" s="52">
        <f t="shared" si="2"/>
        <v>240.34047140170901</v>
      </c>
      <c r="AD15" s="52">
        <f t="shared" si="13"/>
        <v>240.34047788799998</v>
      </c>
      <c r="AE15" s="52">
        <f t="shared" si="20"/>
        <v>522.13424446857232</v>
      </c>
      <c r="AF15" s="52">
        <f t="shared" si="21"/>
        <v>603.89053425913619</v>
      </c>
      <c r="AG15" s="52">
        <f t="shared" si="14"/>
        <v>603.89055700521419</v>
      </c>
      <c r="AH15" s="52">
        <f t="shared" si="22"/>
        <v>3844.8288134335721</v>
      </c>
      <c r="AI15" s="52">
        <f t="shared" si="23"/>
        <v>4557.4365038693149</v>
      </c>
      <c r="AJ15" s="52">
        <f t="shared" si="24"/>
        <v>4557.4366573565476</v>
      </c>
      <c r="AK15" s="52">
        <f>K15+S15</f>
        <v>139.055844971</v>
      </c>
      <c r="AL15" s="52">
        <f t="shared" si="16"/>
        <v>139.05584899999999</v>
      </c>
      <c r="AM15" s="52">
        <f>FRA!$Y$16+FRA!$Y$22</f>
        <v>33320.166316696901</v>
      </c>
      <c r="AN15" s="60">
        <f t="shared" si="5"/>
        <v>0.41733239767869468</v>
      </c>
      <c r="AO15" s="52">
        <f>FRA!$Y$16-FRA!$Y$20+FRA!$AA$20+FRA!$Y$22-FRA!$Y$26+FRA!$AA$26+FRA!$AA$29</f>
        <v>33320.166320725897</v>
      </c>
      <c r="AP15" s="60">
        <f t="shared" si="6"/>
        <v>0.41733239762823182</v>
      </c>
      <c r="AQ15" s="52">
        <f>FRA!$I$4+FRA!$I$16+FRA!$I$22</f>
        <v>86873.509327456588</v>
      </c>
      <c r="AR15" s="60">
        <f t="shared" si="7"/>
        <v>5.2460602692795311</v>
      </c>
      <c r="AS15" s="52">
        <f>FRA!$I$4+FRA!$I$16+FRA!$I$22-AH15+AJ15</f>
        <v>87586.117171379563</v>
      </c>
      <c r="AT15" s="60">
        <f t="shared" si="8"/>
        <v>5.2033778919997342</v>
      </c>
      <c r="AU15" s="52">
        <f>FRA!$I$3</f>
        <v>426828.05915510515</v>
      </c>
      <c r="AV15" s="52">
        <f t="shared" si="9"/>
        <v>1.0677453273287312</v>
      </c>
      <c r="AW15" s="63">
        <f t="shared" si="10"/>
        <v>427540.66699902812</v>
      </c>
      <c r="AX15" s="60">
        <f t="shared" si="11"/>
        <v>1.0659656517228822</v>
      </c>
      <c r="AY15" s="53"/>
    </row>
    <row r="16" spans="1:51" s="19" customFormat="1" x14ac:dyDescent="0.35">
      <c r="A16" s="79" t="s">
        <v>75</v>
      </c>
      <c r="B16" s="18">
        <f>GBR!$G$9</f>
        <v>1070.3138285714276</v>
      </c>
      <c r="C16" s="18">
        <f>(GBR!$Q$20+GBR!$Q$26)</f>
        <v>937.87836448462872</v>
      </c>
      <c r="D16" s="11">
        <f>(GBR!$W$20+GBR!$W$26)</f>
        <v>2096.1944464385292</v>
      </c>
      <c r="E16" s="18">
        <f>GBR!$B$20</f>
        <v>1716.8735833333333</v>
      </c>
      <c r="F16" s="18">
        <f>GBR!$M$20</f>
        <v>2578.0653433333332</v>
      </c>
      <c r="G16" s="18">
        <f>GBR!$S$20</f>
        <v>5356.5976200000005</v>
      </c>
      <c r="H16" s="18">
        <f>GBR!$F$20</f>
        <v>0</v>
      </c>
      <c r="I16" s="18">
        <f>GBR!$P$20+GBR!$P$21</f>
        <v>155.1894848</v>
      </c>
      <c r="J16" s="18">
        <f>GBR!$V$20+GBR!$V$21</f>
        <v>322.44629760000004</v>
      </c>
      <c r="K16" s="18">
        <f>GBR!$Y$20</f>
        <v>93.623000000000005</v>
      </c>
      <c r="L16" s="11">
        <f>GBR!$AA$20</f>
        <v>194.52600000000001</v>
      </c>
      <c r="M16" s="18">
        <f>GBR!$B$26</f>
        <v>182.66145713675215</v>
      </c>
      <c r="N16" s="18">
        <f>GBR!$M$26</f>
        <v>2027.8534293409095</v>
      </c>
      <c r="O16" s="18">
        <f>GBR!$S$26</f>
        <v>5761.5012825479998</v>
      </c>
      <c r="P16" s="18">
        <f>GBR!$F$26</f>
        <v>0</v>
      </c>
      <c r="Q16" s="18">
        <f>GBR!$P$26+GBR!$P$27</f>
        <v>429.19978383970806</v>
      </c>
      <c r="R16" s="18">
        <f>GBR!$V$26+GBR!$V$27</f>
        <v>1219.4348315723785</v>
      </c>
      <c r="S16" s="18">
        <f>GBR!$Y$26</f>
        <v>199.26704414918416</v>
      </c>
      <c r="T16" s="11">
        <f>GBR!$AA$26</f>
        <v>566.154</v>
      </c>
      <c r="U16" s="18">
        <f>GBR!$S$28</f>
        <v>0</v>
      </c>
      <c r="V16" s="18">
        <f>GBR!$V$28</f>
        <v>0</v>
      </c>
      <c r="W16" s="18">
        <f>GBR!$W$28</f>
        <v>0</v>
      </c>
      <c r="X16" s="18">
        <f>GBR!$AA$29</f>
        <v>0</v>
      </c>
      <c r="Y16" s="17">
        <f t="shared" si="17"/>
        <v>1899.5350404700855</v>
      </c>
      <c r="Z16" s="18">
        <f t="shared" si="18"/>
        <v>4605.918772674243</v>
      </c>
      <c r="AA16" s="18">
        <f t="shared" si="12"/>
        <v>11118.098902548001</v>
      </c>
      <c r="AB16" s="18">
        <f t="shared" si="19"/>
        <v>0</v>
      </c>
      <c r="AC16" s="18">
        <f t="shared" si="2"/>
        <v>584.38926863970801</v>
      </c>
      <c r="AD16" s="18">
        <f t="shared" si="13"/>
        <v>1541.8811291723785</v>
      </c>
      <c r="AE16" s="18">
        <f t="shared" si="20"/>
        <v>1070.3138285714276</v>
      </c>
      <c r="AF16" s="18">
        <f t="shared" si="21"/>
        <v>937.87836448462872</v>
      </c>
      <c r="AG16" s="18">
        <f t="shared" si="14"/>
        <v>2096.1944464385292</v>
      </c>
      <c r="AH16" s="18">
        <f t="shared" si="22"/>
        <v>2969.8488690415134</v>
      </c>
      <c r="AI16" s="18">
        <f t="shared" si="23"/>
        <v>6128.1864057985795</v>
      </c>
      <c r="AJ16" s="18">
        <f t="shared" si="24"/>
        <v>14756.174478158908</v>
      </c>
      <c r="AK16" s="18">
        <f>K16+S16</f>
        <v>292.89004414918418</v>
      </c>
      <c r="AL16" s="18">
        <f t="shared" si="16"/>
        <v>760.68000000000006</v>
      </c>
      <c r="AM16" s="18">
        <f>GBR!$Y$16+GBR!$Y$22</f>
        <v>19739.879562247213</v>
      </c>
      <c r="AN16" s="11">
        <f t="shared" si="5"/>
        <v>3.8535189518319601</v>
      </c>
      <c r="AO16" s="18">
        <f>GBR!$Y$16-GBR!$Y$20+GBR!$AA$20+GBR!$Y$22-GBR!$Y$26+GBR!$AA$26+GBR!$AA$29</f>
        <v>20207.669518098031</v>
      </c>
      <c r="AP16" s="11">
        <f t="shared" si="6"/>
        <v>3.7643133431033871</v>
      </c>
      <c r="AQ16" s="18">
        <f>GBR!$I$4+GBR!$I$16+GBR!$I$22</f>
        <v>43938.357321612522</v>
      </c>
      <c r="AR16" s="11">
        <f t="shared" si="7"/>
        <v>33.583810086820428</v>
      </c>
      <c r="AS16" s="18">
        <f>GBR!$I$4+GBR!$I$16+GBR!$I$22-AH16+AJ16</f>
        <v>55724.682930729919</v>
      </c>
      <c r="AT16" s="11">
        <f t="shared" si="8"/>
        <v>26.480499667448932</v>
      </c>
      <c r="AU16" s="18">
        <f>GBR!$I$3</f>
        <v>455963.87220613268</v>
      </c>
      <c r="AV16" s="18">
        <f t="shared" si="9"/>
        <v>3.2362595761727189</v>
      </c>
      <c r="AW16" s="17">
        <f t="shared" si="10"/>
        <v>467750.19781525002</v>
      </c>
      <c r="AX16" s="11">
        <f t="shared" si="11"/>
        <v>3.1547126109366692</v>
      </c>
      <c r="AY16" s="53"/>
    </row>
    <row r="17" spans="1:51" s="19" customFormat="1" x14ac:dyDescent="0.35">
      <c r="A17" s="73" t="s">
        <v>77</v>
      </c>
      <c r="B17" s="52">
        <f>GRC!$G$9</f>
        <v>24.967121142858421</v>
      </c>
      <c r="C17" s="52">
        <f>(GRC!$Q$20+GRC!$Q$26)</f>
        <v>36.078746785714287</v>
      </c>
      <c r="D17" s="60">
        <f>(GRC!$W$20+GRC!$W$26)</f>
        <v>36.078746785714287</v>
      </c>
      <c r="E17" s="52">
        <f>GRC!$B$20</f>
        <v>244.36499999999998</v>
      </c>
      <c r="F17" s="52">
        <f>GRC!$M$20</f>
        <v>200.62366500000005</v>
      </c>
      <c r="G17" s="52">
        <f>GRC!$S$20</f>
        <v>200.62366500000005</v>
      </c>
      <c r="H17" s="52">
        <f>GRC!$F$20</f>
        <v>0</v>
      </c>
      <c r="I17" s="52">
        <f>GRC!$P$20+GRC!$P$21</f>
        <v>10.869799500000003</v>
      </c>
      <c r="J17" s="52">
        <f>GRC!$V$20+GRC!$V$21</f>
        <v>10.869799500000003</v>
      </c>
      <c r="K17" s="52">
        <f>GRC!$Y$20</f>
        <v>6.6645000000000003</v>
      </c>
      <c r="L17" s="60">
        <f>GRC!$AA$20</f>
        <v>6.6645000000000003</v>
      </c>
      <c r="M17" s="52">
        <f>GRC!$B$26</f>
        <v>0</v>
      </c>
      <c r="N17" s="52">
        <f>GRC!$M$26</f>
        <v>0</v>
      </c>
      <c r="O17" s="52">
        <f>GRC!$S$26</f>
        <v>0</v>
      </c>
      <c r="P17" s="52">
        <f>GRC!$F$26</f>
        <v>0</v>
      </c>
      <c r="Q17" s="52">
        <f>GRC!$P$26+GRC!$P$27</f>
        <v>0</v>
      </c>
      <c r="R17" s="52">
        <f>GRC!$V$26+GRC!$V$27</f>
        <v>0</v>
      </c>
      <c r="S17" s="52" t="str">
        <f>GRC!$Y$26</f>
        <v>NO</v>
      </c>
      <c r="T17" s="60">
        <f>GRC!$AA$26</f>
        <v>0</v>
      </c>
      <c r="U17" s="52">
        <f>GRC!$S$28</f>
        <v>0</v>
      </c>
      <c r="V17" s="52">
        <f>GRC!$V$28</f>
        <v>0</v>
      </c>
      <c r="W17" s="52">
        <f>GRC!$W$28</f>
        <v>0</v>
      </c>
      <c r="X17" s="52">
        <f>GRC!$AA$29</f>
        <v>0</v>
      </c>
      <c r="Y17" s="63">
        <f t="shared" si="17"/>
        <v>244.36499999999998</v>
      </c>
      <c r="Z17" s="52">
        <f t="shared" si="18"/>
        <v>200.62366500000005</v>
      </c>
      <c r="AA17" s="52">
        <f t="shared" si="12"/>
        <v>200.62366500000005</v>
      </c>
      <c r="AB17" s="52">
        <f t="shared" si="19"/>
        <v>0</v>
      </c>
      <c r="AC17" s="52">
        <f t="shared" si="2"/>
        <v>10.869799500000003</v>
      </c>
      <c r="AD17" s="52">
        <f t="shared" si="13"/>
        <v>10.869799500000003</v>
      </c>
      <c r="AE17" s="52">
        <f t="shared" si="20"/>
        <v>24.967121142858421</v>
      </c>
      <c r="AF17" s="52">
        <f t="shared" si="21"/>
        <v>36.078746785714287</v>
      </c>
      <c r="AG17" s="52">
        <f t="shared" si="14"/>
        <v>36.078746785714287</v>
      </c>
      <c r="AH17" s="52">
        <f t="shared" si="22"/>
        <v>269.3321211428584</v>
      </c>
      <c r="AI17" s="52">
        <f t="shared" si="23"/>
        <v>247.57221128571433</v>
      </c>
      <c r="AJ17" s="52">
        <f t="shared" si="24"/>
        <v>247.57221128571433</v>
      </c>
      <c r="AK17" s="52">
        <f>K17</f>
        <v>6.6645000000000003</v>
      </c>
      <c r="AL17" s="52">
        <f t="shared" si="16"/>
        <v>6.6645000000000003</v>
      </c>
      <c r="AM17" s="52">
        <f>GRC!$Y$16+GRC!$Y$22</f>
        <v>8546.610705488798</v>
      </c>
      <c r="AN17" s="60">
        <f t="shared" si="5"/>
        <v>7.7978279690684049E-2</v>
      </c>
      <c r="AO17" s="52">
        <f>GRC!$Y$16-GRC!$Y$20+GRC!$AA$20+GRC!$Y$22+GRC!$AA$26+GRC!$AA$29</f>
        <v>8546.610705488798</v>
      </c>
      <c r="AP17" s="60">
        <f t="shared" si="6"/>
        <v>7.7978279690684049E-2</v>
      </c>
      <c r="AQ17" s="52">
        <f>GRC!$I$4+GRC!$I$16+GRC!$I$22</f>
        <v>6638.2907709843266</v>
      </c>
      <c r="AR17" s="60">
        <f t="shared" si="7"/>
        <v>3.7294571724372401</v>
      </c>
      <c r="AS17" s="52">
        <f>GRC!$I$4+GRC!$I$16+GRC!$I$22-AH17+AJ17</f>
        <v>6616.530861127183</v>
      </c>
      <c r="AT17" s="60">
        <f t="shared" si="8"/>
        <v>3.7417223085926676</v>
      </c>
      <c r="AU17" s="52">
        <f>GRC!$I$3</f>
        <v>89243.765365951549</v>
      </c>
      <c r="AV17" s="52">
        <f t="shared" si="9"/>
        <v>0.27741121216762171</v>
      </c>
      <c r="AW17" s="63">
        <f t="shared" si="10"/>
        <v>89222.005456094412</v>
      </c>
      <c r="AX17" s="60">
        <f t="shared" si="11"/>
        <v>0.27747886860438598</v>
      </c>
      <c r="AY17" s="53"/>
    </row>
    <row r="18" spans="1:51" s="19" customFormat="1" x14ac:dyDescent="0.35">
      <c r="A18" s="79" t="s">
        <v>78</v>
      </c>
      <c r="B18" s="18">
        <f>HRV!$G$9</f>
        <v>10.06061282285842</v>
      </c>
      <c r="C18" s="18">
        <f>(HRV!$Q$20+HRV!$Q$26)</f>
        <v>13.964599507838392</v>
      </c>
      <c r="D18" s="11">
        <f>(HRV!$W$20+HRV!$W$26)</f>
        <v>13.964596917857143</v>
      </c>
      <c r="E18" s="18">
        <f>HRV!$B$20</f>
        <v>90.190006973843325</v>
      </c>
      <c r="F18" s="18">
        <f>HRV!$M$20</f>
        <v>74.045995725435077</v>
      </c>
      <c r="G18" s="18">
        <f>HRV!$S$20</f>
        <v>74.045981790000013</v>
      </c>
      <c r="H18" s="18">
        <f>HRV!$F$20</f>
        <v>0</v>
      </c>
      <c r="I18" s="18">
        <f>HRV!$P$20+HRV!$P$21</f>
        <v>4.01181549202252</v>
      </c>
      <c r="J18" s="18">
        <f>HRV!$V$20+HRV!$V$21</f>
        <v>4.0118147369999999</v>
      </c>
      <c r="K18" s="18">
        <f>HRV!$Y$20</f>
        <v>2.4597274629200001</v>
      </c>
      <c r="L18" s="11">
        <f>HRV!$AA$20</f>
        <v>2.459727</v>
      </c>
      <c r="M18" s="18">
        <f>HRV!$B$26</f>
        <v>2.0694669344799999</v>
      </c>
      <c r="N18" s="18">
        <f>HRV!$M$26</f>
        <v>4.9749985103576995</v>
      </c>
      <c r="O18" s="18">
        <f>HRV!$S$26</f>
        <v>4.9749978666666665</v>
      </c>
      <c r="P18" s="18">
        <f>HRV!$F$26</f>
        <v>0</v>
      </c>
      <c r="Q18" s="18">
        <f>HRV!$P$26+HRV!$P$27</f>
        <v>0.42036517438901999</v>
      </c>
      <c r="R18" s="18">
        <f>HRV!$V$26+HRV!$V$27</f>
        <v>0.42036511999999998</v>
      </c>
      <c r="S18" s="18">
        <f>HRV!$Y$26</f>
        <v>0.22576002920999999</v>
      </c>
      <c r="T18" s="11">
        <f>HRV!$AA$26</f>
        <v>0.22575999999999999</v>
      </c>
      <c r="U18" s="18">
        <f>HRV!$S$28</f>
        <v>52.139999999999993</v>
      </c>
      <c r="V18" s="18">
        <f>HRV!$V$28</f>
        <v>3.4901999999999997</v>
      </c>
      <c r="W18" s="18">
        <f>HRV!$W$28</f>
        <v>8.2869285714285699</v>
      </c>
      <c r="X18" s="18">
        <f>HRV!$AA$29</f>
        <v>2</v>
      </c>
      <c r="Y18" s="17">
        <f t="shared" si="17"/>
        <v>92.259473908323329</v>
      </c>
      <c r="Z18" s="18">
        <f t="shared" si="18"/>
        <v>79.02099423579277</v>
      </c>
      <c r="AA18" s="18">
        <f t="shared" si="12"/>
        <v>131.16097965666668</v>
      </c>
      <c r="AB18" s="18">
        <f t="shared" si="19"/>
        <v>0</v>
      </c>
      <c r="AC18" s="18">
        <f t="shared" si="2"/>
        <v>4.43218066641154</v>
      </c>
      <c r="AD18" s="18">
        <f t="shared" si="13"/>
        <v>7.9223798569999992</v>
      </c>
      <c r="AE18" s="18">
        <f t="shared" si="20"/>
        <v>10.06061282285842</v>
      </c>
      <c r="AF18" s="18">
        <f t="shared" si="21"/>
        <v>13.964599507838392</v>
      </c>
      <c r="AG18" s="18">
        <f t="shared" si="14"/>
        <v>22.251525489285712</v>
      </c>
      <c r="AH18" s="18">
        <f t="shared" si="22"/>
        <v>102.32008673118175</v>
      </c>
      <c r="AI18" s="18">
        <f t="shared" si="23"/>
        <v>97.417774410042696</v>
      </c>
      <c r="AJ18" s="18">
        <f t="shared" si="24"/>
        <v>161.3348850029524</v>
      </c>
      <c r="AK18" s="18">
        <f>K18+S18</f>
        <v>2.68548749213</v>
      </c>
      <c r="AL18" s="18">
        <f t="shared" si="16"/>
        <v>4.6854870000000002</v>
      </c>
      <c r="AM18" s="18">
        <f>HRV!$Y$16+HRV!$Y$22</f>
        <v>2686.1233891408901</v>
      </c>
      <c r="AN18" s="11">
        <f t="shared" si="5"/>
        <v>0.17443305169605675</v>
      </c>
      <c r="AO18" s="18">
        <f>HRV!$Y$16-HRV!$Y$20+HRV!$AA$20+HRV!$Y$22-HRV!$Y$26+HRV!$AA$26+HRV!$AA$29</f>
        <v>2688.1233886487598</v>
      </c>
      <c r="AP18" s="11">
        <f t="shared" si="6"/>
        <v>0.1743032711885765</v>
      </c>
      <c r="AQ18" s="18">
        <f>HRV!$I$4+HRV!$I$16+HRV!$I$22</f>
        <v>2968.1949347093182</v>
      </c>
      <c r="AR18" s="11">
        <f t="shared" si="7"/>
        <v>5.4354544951324861</v>
      </c>
      <c r="AS18" s="18">
        <f>HRV!$I$4+HRV!$I$16+HRV!$I$22-AH18+AJ18</f>
        <v>3027.209732981089</v>
      </c>
      <c r="AT18" s="11">
        <f t="shared" si="8"/>
        <v>5.3294914866726302</v>
      </c>
      <c r="AU18" s="18">
        <f>HRV!$I$3</f>
        <v>18698.569490533235</v>
      </c>
      <c r="AV18" s="18">
        <f t="shared" si="9"/>
        <v>0.86281939955157261</v>
      </c>
      <c r="AW18" s="17">
        <f t="shared" si="10"/>
        <v>18757.584288805003</v>
      </c>
      <c r="AX18" s="11">
        <f t="shared" si="11"/>
        <v>0.86010481157342378</v>
      </c>
      <c r="AY18" s="53"/>
    </row>
    <row r="19" spans="1:51" s="19" customFormat="1" x14ac:dyDescent="0.35">
      <c r="A19" s="73" t="s">
        <v>79</v>
      </c>
      <c r="B19" s="52">
        <f>HUN!$G$9</f>
        <v>0</v>
      </c>
      <c r="C19" s="52">
        <f>(HUN!$Q$20+HUN!$Q$26)</f>
        <v>0</v>
      </c>
      <c r="D19" s="60">
        <f>(HUN!$W$20+HUN!$W$26)</f>
        <v>289.05139999999994</v>
      </c>
      <c r="E19" s="52">
        <f>HUN!$B$20</f>
        <v>0</v>
      </c>
      <c r="F19" s="52">
        <f>HUN!$M$20</f>
        <v>0</v>
      </c>
      <c r="G19" s="52">
        <f>HUN!$S$20</f>
        <v>1527.4431333333334</v>
      </c>
      <c r="H19" s="52">
        <f>HUN!$F$20</f>
        <v>0</v>
      </c>
      <c r="I19" s="52">
        <f>HUN!$P$20+HUN!$P$21</f>
        <v>0</v>
      </c>
      <c r="J19" s="52">
        <f>HUN!$V$20+HUN!$V$21</f>
        <v>82.756940000000014</v>
      </c>
      <c r="K19" s="52" t="str">
        <f>HUN!$Y$20</f>
        <v>NO</v>
      </c>
      <c r="L19" s="60">
        <f>HUN!$AA$20</f>
        <v>50.74</v>
      </c>
      <c r="M19" s="52">
        <f>HUN!$B$26</f>
        <v>0</v>
      </c>
      <c r="N19" s="52">
        <f>HUN!$M$26</f>
        <v>0</v>
      </c>
      <c r="O19" s="52">
        <f>HUN!$S$26</f>
        <v>110.18333333333332</v>
      </c>
      <c r="P19" s="52">
        <f>HUN!$F$26</f>
        <v>0</v>
      </c>
      <c r="Q19" s="52">
        <f>HUN!$P$26+HUN!$P$27</f>
        <v>0</v>
      </c>
      <c r="R19" s="52">
        <f>HUN!$V$26+HUN!$V$27</f>
        <v>9.3099999999999987</v>
      </c>
      <c r="S19" s="52" t="str">
        <f>HUN!$Y$26</f>
        <v>NO</v>
      </c>
      <c r="T19" s="60">
        <f>HUN!$AA$26</f>
        <v>5</v>
      </c>
      <c r="U19" s="52">
        <f>HUN!$S$28</f>
        <v>0</v>
      </c>
      <c r="V19" s="52">
        <f>HUN!$V$28</f>
        <v>0</v>
      </c>
      <c r="W19" s="52">
        <f>HUN!$W$28</f>
        <v>0</v>
      </c>
      <c r="X19" s="52">
        <f>HUN!$AA$29</f>
        <v>0</v>
      </c>
      <c r="Y19" s="63">
        <f t="shared" si="17"/>
        <v>0</v>
      </c>
      <c r="Z19" s="52">
        <f t="shared" si="18"/>
        <v>0</v>
      </c>
      <c r="AA19" s="52">
        <f t="shared" si="12"/>
        <v>1637.6264666666668</v>
      </c>
      <c r="AB19" s="52">
        <f t="shared" si="19"/>
        <v>0</v>
      </c>
      <c r="AC19" s="52">
        <f t="shared" si="2"/>
        <v>0</v>
      </c>
      <c r="AD19" s="52">
        <f t="shared" si="13"/>
        <v>92.066940000000017</v>
      </c>
      <c r="AE19" s="52">
        <f t="shared" si="20"/>
        <v>0</v>
      </c>
      <c r="AF19" s="52">
        <f t="shared" si="21"/>
        <v>0</v>
      </c>
      <c r="AG19" s="52">
        <f t="shared" si="14"/>
        <v>289.05139999999994</v>
      </c>
      <c r="AH19" s="52">
        <f t="shared" si="22"/>
        <v>0</v>
      </c>
      <c r="AI19" s="52">
        <f t="shared" si="23"/>
        <v>0</v>
      </c>
      <c r="AJ19" s="52">
        <f t="shared" si="24"/>
        <v>2018.7448066666666</v>
      </c>
      <c r="AK19" s="52">
        <v>0</v>
      </c>
      <c r="AL19" s="52">
        <f t="shared" si="16"/>
        <v>55.74</v>
      </c>
      <c r="AM19" s="52">
        <f>HUN!$Y$16+HUN!$Y$22</f>
        <v>6398.5621460193406</v>
      </c>
      <c r="AN19" s="60">
        <f t="shared" si="5"/>
        <v>0.87113321286840739</v>
      </c>
      <c r="AO19" s="52">
        <f>HUN!$Y$16+HUN!$AA$20+HUN!$Y$22+HUN!$AA$26+HUN!$AA$29</f>
        <v>6454.3021460193404</v>
      </c>
      <c r="AP19" s="60">
        <f t="shared" si="6"/>
        <v>0.86361001916182945</v>
      </c>
      <c r="AQ19" s="52">
        <f>HUN!$I$4+HUN!$I$16+HUN!$I$22</f>
        <v>6969.3999071265016</v>
      </c>
      <c r="AR19" s="60">
        <f t="shared" si="7"/>
        <v>28.965833982383703</v>
      </c>
      <c r="AS19" s="52">
        <f>HUN!$I$4+HUN!$I$16+HUN!$I$22-AH19+AJ19</f>
        <v>8988.1447137931682</v>
      </c>
      <c r="AT19" s="60">
        <f t="shared" si="8"/>
        <v>22.460083487181837</v>
      </c>
      <c r="AU19" s="52">
        <f>HUN!$I$3</f>
        <v>58559.625189259496</v>
      </c>
      <c r="AV19" s="52">
        <f t="shared" si="9"/>
        <v>3.4473321851741074</v>
      </c>
      <c r="AW19" s="63">
        <f t="shared" si="10"/>
        <v>60578.369995926165</v>
      </c>
      <c r="AX19" s="60">
        <f t="shared" si="11"/>
        <v>3.3324515116574203</v>
      </c>
      <c r="AY19" s="53"/>
    </row>
    <row r="20" spans="1:51" s="19" customFormat="1" x14ac:dyDescent="0.35">
      <c r="A20" s="79" t="s">
        <v>80</v>
      </c>
      <c r="B20" s="18">
        <f>IRL!$G$9</f>
        <v>669.64534949642302</v>
      </c>
      <c r="C20" s="18">
        <f>(IRL!$Q$20+IRL!$Q$26)</f>
        <v>443.65640306795672</v>
      </c>
      <c r="D20" s="11">
        <f>(IRL!$W$20+IRL!$W$26)</f>
        <v>443.65300571428571</v>
      </c>
      <c r="E20" s="18">
        <f>IRL!$B$20</f>
        <v>0</v>
      </c>
      <c r="F20" s="18">
        <f>IRL!$M$20</f>
        <v>0</v>
      </c>
      <c r="G20" s="18">
        <f>IRL!$S$20</f>
        <v>0</v>
      </c>
      <c r="H20" s="18">
        <f>IRL!$F$20</f>
        <v>0</v>
      </c>
      <c r="I20" s="18">
        <f>IRL!$P$20+IRL!$P$21</f>
        <v>0</v>
      </c>
      <c r="J20" s="18">
        <f>IRL!$V$20+IRL!$V$21</f>
        <v>0</v>
      </c>
      <c r="K20" s="18" t="str">
        <f>IRL!$Y$20</f>
        <v>NO</v>
      </c>
      <c r="L20" s="11">
        <f>IRL!$AA$20</f>
        <v>0</v>
      </c>
      <c r="M20" s="18">
        <f>IRL!$B$26</f>
        <v>8690.4645278026255</v>
      </c>
      <c r="N20" s="18">
        <f>IRL!$M$26</f>
        <v>4394.7096530316458</v>
      </c>
      <c r="O20" s="18">
        <f>IRL!$S$26</f>
        <v>4394.6760000000004</v>
      </c>
      <c r="P20" s="18">
        <f>IRL!$F$26</f>
        <v>247.10580609905523</v>
      </c>
      <c r="Q20" s="18">
        <f>IRL!$P$26+IRL!$P$27</f>
        <v>892.12605956542416</v>
      </c>
      <c r="R20" s="18">
        <f>IRL!$V$26+IRL!$V$27</f>
        <v>892.11922800000002</v>
      </c>
      <c r="S20" s="18">
        <f>IRL!$Y$26</f>
        <v>332.93254947209437</v>
      </c>
      <c r="T20" s="11">
        <f>IRL!$AA$26</f>
        <v>332.93</v>
      </c>
      <c r="U20" s="18">
        <f>IRL!$S$28</f>
        <v>0</v>
      </c>
      <c r="V20" s="18">
        <f>IRL!$V$28</f>
        <v>0</v>
      </c>
      <c r="W20" s="18">
        <f>IRL!$W$28</f>
        <v>0</v>
      </c>
      <c r="X20" s="18">
        <f>IRL!$AA$29</f>
        <v>0</v>
      </c>
      <c r="Y20" s="17">
        <f t="shared" si="17"/>
        <v>8690.4645278026255</v>
      </c>
      <c r="Z20" s="18">
        <f t="shared" si="18"/>
        <v>4394.7096530316458</v>
      </c>
      <c r="AA20" s="18">
        <f t="shared" si="12"/>
        <v>4394.6760000000004</v>
      </c>
      <c r="AB20" s="18">
        <f t="shared" si="19"/>
        <v>247.10580609905523</v>
      </c>
      <c r="AC20" s="18">
        <f t="shared" si="2"/>
        <v>892.12605956542416</v>
      </c>
      <c r="AD20" s="18">
        <f t="shared" si="13"/>
        <v>892.11922800000002</v>
      </c>
      <c r="AE20" s="18">
        <f t="shared" si="20"/>
        <v>669.64534949642302</v>
      </c>
      <c r="AF20" s="18">
        <f t="shared" si="21"/>
        <v>443.65640306795672</v>
      </c>
      <c r="AG20" s="18">
        <f t="shared" si="14"/>
        <v>443.65300571428571</v>
      </c>
      <c r="AH20" s="18">
        <f t="shared" si="22"/>
        <v>9607.2156833981026</v>
      </c>
      <c r="AI20" s="18">
        <f t="shared" si="23"/>
        <v>5730.4921156650262</v>
      </c>
      <c r="AJ20" s="18">
        <f t="shared" si="24"/>
        <v>5730.4482337142863</v>
      </c>
      <c r="AK20" s="18">
        <f>S20</f>
        <v>332.93254947209437</v>
      </c>
      <c r="AL20" s="18">
        <f t="shared" si="16"/>
        <v>332.93</v>
      </c>
      <c r="AM20" s="18">
        <f>IRL!$Y$16+IRL!$Y$22</f>
        <v>4936.1878233110547</v>
      </c>
      <c r="AN20" s="11">
        <f t="shared" si="5"/>
        <v>6.7446785235307356</v>
      </c>
      <c r="AO20" s="18">
        <f>IRL!$Y$16+IRL!$AA$20+IRL!$Y$22+IRL!$AA$26+IRL!$AA$29</f>
        <v>5269.117823311055</v>
      </c>
      <c r="AP20" s="11">
        <f t="shared" si="6"/>
        <v>6.3185149993626535</v>
      </c>
      <c r="AQ20" s="18">
        <f>IRL!$I$4+IRL!$I$16+IRL!$I$22</f>
        <v>26760.92577562511</v>
      </c>
      <c r="AR20" s="11">
        <f t="shared" si="7"/>
        <v>21.413490257253361</v>
      </c>
      <c r="AS20" s="18">
        <f>IRL!$I$4+IRL!$I$16+IRL!$I$22-AH20+AJ20</f>
        <v>22884.158325941295</v>
      </c>
      <c r="AT20" s="11">
        <f t="shared" si="8"/>
        <v>25.04111425945824</v>
      </c>
      <c r="AU20" s="18">
        <f>IRL!$I$3</f>
        <v>65232.228571356602</v>
      </c>
      <c r="AV20" s="18">
        <f t="shared" si="9"/>
        <v>8.7846887331862824</v>
      </c>
      <c r="AW20" s="17">
        <f t="shared" si="10"/>
        <v>61355.461121672794</v>
      </c>
      <c r="AX20" s="11">
        <f t="shared" si="11"/>
        <v>9.339752532134586</v>
      </c>
      <c r="AY20" s="53"/>
    </row>
    <row r="21" spans="1:51" s="19" customFormat="1" x14ac:dyDescent="0.35">
      <c r="A21" s="73" t="s">
        <v>81</v>
      </c>
      <c r="B21" s="52">
        <f>ITA!$G$9</f>
        <v>87.091160129599999</v>
      </c>
      <c r="C21" s="52">
        <f>(ITA!$Q$20+ITA!$Q$26)</f>
        <v>120.58449913321428</v>
      </c>
      <c r="D21" s="60">
        <f>(ITA!$W$20+ITA!$W$26)</f>
        <v>120.31728262400001</v>
      </c>
      <c r="E21" s="52">
        <f>ITA!$B$20</f>
        <v>776.38151433333326</v>
      </c>
      <c r="F21" s="52">
        <f>ITA!$M$20</f>
        <v>637.40922326766679</v>
      </c>
      <c r="G21" s="52">
        <f>ITA!$S$20</f>
        <v>636.01064347333352</v>
      </c>
      <c r="H21" s="52">
        <f>ITA!$F$20</f>
        <v>0</v>
      </c>
      <c r="I21" s="52">
        <f>ITA!$P$20+ITA!$P$21</f>
        <v>34.534861360300006</v>
      </c>
      <c r="J21" s="52">
        <f>ITA!$V$20+ITA!$V$21</f>
        <v>34.459086242000005</v>
      </c>
      <c r="K21" s="52">
        <f>ITA!$Y$20</f>
        <v>21.174041299999999</v>
      </c>
      <c r="L21" s="60">
        <f>ITA!$AA$20</f>
        <v>21.127582</v>
      </c>
      <c r="M21" s="52">
        <f>ITA!$B$26</f>
        <v>19.005194999999997</v>
      </c>
      <c r="N21" s="52">
        <f>ITA!$M$26</f>
        <v>45.68848878</v>
      </c>
      <c r="O21" s="52">
        <f>ITA!$S$26</f>
        <v>45.568036360000001</v>
      </c>
      <c r="P21" s="52">
        <f>ITA!$F$26</f>
        <v>0</v>
      </c>
      <c r="Q21" s="52">
        <f>ITA!$P$26+ITA!$P$27</f>
        <v>3.8604734280000006</v>
      </c>
      <c r="R21" s="52">
        <f>ITA!$V$26+ITA!$V$27</f>
        <v>3.8502957360000001</v>
      </c>
      <c r="S21" s="52">
        <f>ITA!$Y$26</f>
        <v>2.0732940000000002</v>
      </c>
      <c r="T21" s="60">
        <f>ITA!$AA$26</f>
        <v>2.067828</v>
      </c>
      <c r="U21" s="52">
        <f>ITA!$S$28</f>
        <v>0</v>
      </c>
      <c r="V21" s="52">
        <f>ITA!$V$28</f>
        <v>0</v>
      </c>
      <c r="W21" s="52">
        <f>ITA!$W$28</f>
        <v>0</v>
      </c>
      <c r="X21" s="52">
        <f>ITA!$AA$29</f>
        <v>0</v>
      </c>
      <c r="Y21" s="63">
        <f t="shared" si="17"/>
        <v>795.38670933333321</v>
      </c>
      <c r="Z21" s="52">
        <f t="shared" si="18"/>
        <v>683.09771204766685</v>
      </c>
      <c r="AA21" s="52">
        <f t="shared" si="12"/>
        <v>681.57867983333347</v>
      </c>
      <c r="AB21" s="52">
        <f t="shared" si="19"/>
        <v>0</v>
      </c>
      <c r="AC21" s="52">
        <f t="shared" si="2"/>
        <v>38.395334788300005</v>
      </c>
      <c r="AD21" s="52">
        <f t="shared" si="13"/>
        <v>38.309381978000005</v>
      </c>
      <c r="AE21" s="52">
        <f t="shared" si="20"/>
        <v>87.091160129599999</v>
      </c>
      <c r="AF21" s="52">
        <f t="shared" si="21"/>
        <v>120.58449913321428</v>
      </c>
      <c r="AG21" s="52">
        <f t="shared" si="14"/>
        <v>120.31728262400001</v>
      </c>
      <c r="AH21" s="52">
        <f t="shared" si="22"/>
        <v>882.4778694629332</v>
      </c>
      <c r="AI21" s="52">
        <f t="shared" si="23"/>
        <v>842.07754596918119</v>
      </c>
      <c r="AJ21" s="52">
        <f t="shared" si="24"/>
        <v>840.20534443533347</v>
      </c>
      <c r="AK21" s="52">
        <f>K21+S21</f>
        <v>23.2473353</v>
      </c>
      <c r="AL21" s="52">
        <f t="shared" si="16"/>
        <v>23.195409999999999</v>
      </c>
      <c r="AM21" s="52">
        <f>ITA!$Y$16+ITA!$Y$22</f>
        <v>17135.417933264696</v>
      </c>
      <c r="AN21" s="60">
        <f t="shared" si="5"/>
        <v>0.1353653006325054</v>
      </c>
      <c r="AO21" s="52">
        <f>ITA!$Y$16-ITA!$Y$20+ITA!$AA$20+ITA!$Y$22-ITA!$Y$26+ITA!$AA$26+ITA!$AA$29</f>
        <v>17135.366007964691</v>
      </c>
      <c r="AP21" s="60">
        <f t="shared" si="6"/>
        <v>0.135365710829979</v>
      </c>
      <c r="AQ21" s="52">
        <f>ITA!$I$4+ITA!$I$16+ITA!$I$22</f>
        <v>21883.155002294588</v>
      </c>
      <c r="AR21" s="60">
        <f t="shared" si="7"/>
        <v>3.8395073486763338</v>
      </c>
      <c r="AS21" s="52">
        <f>ITA!$I$4+ITA!$I$16+ITA!$I$22-AH21+AJ21</f>
        <v>21840.882477266987</v>
      </c>
      <c r="AT21" s="60">
        <f t="shared" si="8"/>
        <v>3.8469386267237988</v>
      </c>
      <c r="AU21" s="52">
        <f>ITA!$I$3</f>
        <v>391263.13047851663</v>
      </c>
      <c r="AV21" s="52">
        <f t="shared" si="9"/>
        <v>0.21474176301962272</v>
      </c>
      <c r="AW21" s="63">
        <f t="shared" si="10"/>
        <v>391220.85795348906</v>
      </c>
      <c r="AX21" s="60">
        <f t="shared" si="11"/>
        <v>0.21476496647712548</v>
      </c>
      <c r="AY21" s="53"/>
    </row>
    <row r="22" spans="1:51" s="19" customFormat="1" x14ac:dyDescent="0.35">
      <c r="A22" s="79" t="s">
        <v>82</v>
      </c>
      <c r="B22" s="18">
        <f>LTU!$G$9</f>
        <v>496.75735736749499</v>
      </c>
      <c r="C22" s="18">
        <f>(LTU!$Q$20+LTU!$Q$26)</f>
        <v>543.57124044924876</v>
      </c>
      <c r="D22" s="11">
        <f>(LTU!$W$20+LTU!$W$26)</f>
        <v>543.58923302913672</v>
      </c>
      <c r="E22" s="18">
        <f>LTU!$B$20</f>
        <v>1117.8588102473634</v>
      </c>
      <c r="F22" s="18">
        <f>LTU!$M$20</f>
        <v>1926.5003660156251</v>
      </c>
      <c r="G22" s="18">
        <f>LTU!$S$20</f>
        <v>1926.6133333333335</v>
      </c>
      <c r="H22" s="18">
        <f>LTU!$F$20</f>
        <v>0</v>
      </c>
      <c r="I22" s="18">
        <f>LTU!$P$20+LTU!$P$21</f>
        <v>104.37787942547284</v>
      </c>
      <c r="J22" s="18">
        <f>LTU!$V$20+LTU!$V$21</f>
        <v>104.384</v>
      </c>
      <c r="K22" s="18">
        <f>LTU!$Y$20</f>
        <v>63.996247348542511</v>
      </c>
      <c r="L22" s="11">
        <f>LTU!$AA$20</f>
        <v>64</v>
      </c>
      <c r="M22" s="18">
        <f>LTU!$B$26</f>
        <v>59.630337756680419</v>
      </c>
      <c r="N22" s="18">
        <f>LTU!$M$26</f>
        <v>1511.7972742920522</v>
      </c>
      <c r="O22" s="18">
        <f>LTU!$S$26</f>
        <v>1511.7608712371803</v>
      </c>
      <c r="P22" s="18">
        <f>LTU!$F$26</f>
        <v>0</v>
      </c>
      <c r="Q22" s="18">
        <f>LTU!$P$26+LTU!$P$27</f>
        <v>127.74012364536991</v>
      </c>
      <c r="R22" s="18">
        <f>LTU!$V$26+LTU!$V$27</f>
        <v>127.73256333697086</v>
      </c>
      <c r="S22" s="18">
        <f>LTU!$Y$26</f>
        <v>68.603718391713159</v>
      </c>
      <c r="T22" s="11">
        <f>LTU!$AA$26</f>
        <v>68.599999999999994</v>
      </c>
      <c r="U22" s="18">
        <f>LTU!$S$28</f>
        <v>1476.3320000000001</v>
      </c>
      <c r="V22" s="18">
        <f>LTU!$V$28</f>
        <v>306.609576</v>
      </c>
      <c r="W22" s="18">
        <f>LTU!$W$28</f>
        <v>94.196142857142874</v>
      </c>
      <c r="X22" s="18">
        <f>LTU!$AA$29</f>
        <v>150.80000000000001</v>
      </c>
      <c r="Y22" s="17">
        <f t="shared" si="17"/>
        <v>1177.4891480040437</v>
      </c>
      <c r="Z22" s="18">
        <f t="shared" si="18"/>
        <v>3438.2976403076773</v>
      </c>
      <c r="AA22" s="18">
        <f t="shared" si="12"/>
        <v>4914.7062045705143</v>
      </c>
      <c r="AB22" s="18">
        <f t="shared" si="19"/>
        <v>0</v>
      </c>
      <c r="AC22" s="18">
        <f t="shared" si="2"/>
        <v>232.11800307084275</v>
      </c>
      <c r="AD22" s="18">
        <f t="shared" si="13"/>
        <v>538.72613933697085</v>
      </c>
      <c r="AE22" s="18">
        <f t="shared" si="20"/>
        <v>496.75735736749499</v>
      </c>
      <c r="AF22" s="18">
        <f t="shared" si="21"/>
        <v>543.57124044924876</v>
      </c>
      <c r="AG22" s="18">
        <f t="shared" si="14"/>
        <v>637.78537588627955</v>
      </c>
      <c r="AH22" s="18">
        <f t="shared" si="22"/>
        <v>1674.2465053715387</v>
      </c>
      <c r="AI22" s="18">
        <f t="shared" si="23"/>
        <v>4213.9868838277689</v>
      </c>
      <c r="AJ22" s="18">
        <f t="shared" si="24"/>
        <v>6091.2177197937644</v>
      </c>
      <c r="AK22" s="18">
        <f>K22+S22</f>
        <v>132.59996574025567</v>
      </c>
      <c r="AL22" s="18">
        <f t="shared" si="16"/>
        <v>283.39999999999998</v>
      </c>
      <c r="AM22" s="18">
        <f>LTU!$Y$16+LTU!$Y$22</f>
        <v>3564.0214127489999</v>
      </c>
      <c r="AN22" s="11">
        <f t="shared" si="5"/>
        <v>7.9516918441129114</v>
      </c>
      <c r="AO22" s="18">
        <f>LTU!$Y$16-LTU!$Y$20+LTU!$AA$20+LTU!$Y$22-LTU!$Y$26+LTU!$AA$26+LTU!$AA$29</f>
        <v>3714.8214470087437</v>
      </c>
      <c r="AP22" s="11">
        <f t="shared" si="6"/>
        <v>7.6288996400674911</v>
      </c>
      <c r="AQ22" s="18">
        <f>LTU!$I$4+LTU!$I$16+LTU!$I$22</f>
        <v>4391.0613499470574</v>
      </c>
      <c r="AR22" s="11">
        <f t="shared" si="7"/>
        <v>138.71857472151251</v>
      </c>
      <c r="AS22" s="18">
        <f>LTU!$I$4+LTU!$I$16+LTU!$I$22-AH22+AJ22</f>
        <v>8808.0325643692831</v>
      </c>
      <c r="AT22" s="11">
        <f t="shared" si="8"/>
        <v>69.155258853541014</v>
      </c>
      <c r="AU22" s="18">
        <f>LTU!$I$3</f>
        <v>16400.109621933469</v>
      </c>
      <c r="AV22" s="18">
        <f t="shared" si="9"/>
        <v>37.141323199738764</v>
      </c>
      <c r="AW22" s="17">
        <f t="shared" si="10"/>
        <v>20817.080836355693</v>
      </c>
      <c r="AX22" s="11">
        <f t="shared" si="11"/>
        <v>29.260671886116924</v>
      </c>
      <c r="AY22" s="52"/>
    </row>
    <row r="23" spans="1:51" s="19" customFormat="1" x14ac:dyDescent="0.35">
      <c r="A23" s="73" t="s">
        <v>83</v>
      </c>
      <c r="B23" s="52">
        <f>LUX!$G$9</f>
        <v>0</v>
      </c>
      <c r="C23" s="52">
        <f>(LUX!$Q$20+LUX!$Q$26)</f>
        <v>0</v>
      </c>
      <c r="D23" s="60">
        <f>(LUX!$W$20+LUX!$W$26)</f>
        <v>0</v>
      </c>
      <c r="E23" s="52">
        <f>LUX!$B$20</f>
        <v>0</v>
      </c>
      <c r="F23" s="52">
        <f>LUX!$M$20</f>
        <v>0</v>
      </c>
      <c r="G23" s="52">
        <f>LUX!$S$20</f>
        <v>0</v>
      </c>
      <c r="H23" s="52">
        <f>LUX!$F$20</f>
        <v>0</v>
      </c>
      <c r="I23" s="52">
        <f>LUX!$P$20+LUX!$P$21</f>
        <v>0</v>
      </c>
      <c r="J23" s="52">
        <f>LUX!$V$20+LUX!$V$21</f>
        <v>0</v>
      </c>
      <c r="K23" s="52" t="str">
        <f>LUX!$Y$20</f>
        <v>NO</v>
      </c>
      <c r="L23" s="60">
        <f>LUX!$AA$20</f>
        <v>0</v>
      </c>
      <c r="M23" s="52">
        <f>LUX!$B$26</f>
        <v>0</v>
      </c>
      <c r="N23" s="52">
        <f>LUX!$M$26</f>
        <v>0</v>
      </c>
      <c r="O23" s="52">
        <f>LUX!$S$26</f>
        <v>0</v>
      </c>
      <c r="P23" s="52">
        <f>LUX!$F$26</f>
        <v>0</v>
      </c>
      <c r="Q23" s="52">
        <f>LUX!$P$26+LUX!$P$27</f>
        <v>0</v>
      </c>
      <c r="R23" s="52">
        <f>LUX!$V$26+LUX!$V$27</f>
        <v>0</v>
      </c>
      <c r="S23" s="52" t="str">
        <f>LUX!$Y$26</f>
        <v>NO</v>
      </c>
      <c r="T23" s="60">
        <f>LUX!$AA$26</f>
        <v>0</v>
      </c>
      <c r="U23" s="52">
        <f>LUX!$S$28</f>
        <v>4.6925999999999997</v>
      </c>
      <c r="V23" s="52">
        <f>LUX!$V$28</f>
        <v>0.31411800000000001</v>
      </c>
      <c r="W23" s="52">
        <f>LUX!$W$28</f>
        <v>0.74582357142857136</v>
      </c>
      <c r="X23" s="52">
        <f>LUX!$AA$29</f>
        <v>0.18</v>
      </c>
      <c r="Y23" s="63">
        <f>E23+M23</f>
        <v>0</v>
      </c>
      <c r="Z23" s="52">
        <f t="shared" si="18"/>
        <v>0</v>
      </c>
      <c r="AA23" s="52">
        <f t="shared" si="12"/>
        <v>4.6925999999999997</v>
      </c>
      <c r="AB23" s="52">
        <f t="shared" si="19"/>
        <v>0</v>
      </c>
      <c r="AC23" s="52">
        <f t="shared" si="2"/>
        <v>0</v>
      </c>
      <c r="AD23" s="52">
        <f t="shared" si="13"/>
        <v>0.31411800000000001</v>
      </c>
      <c r="AE23" s="52">
        <f t="shared" si="20"/>
        <v>0</v>
      </c>
      <c r="AF23" s="52">
        <f t="shared" si="21"/>
        <v>0</v>
      </c>
      <c r="AG23" s="52">
        <f t="shared" si="14"/>
        <v>0.74582357142857136</v>
      </c>
      <c r="AH23" s="52">
        <f t="shared" si="22"/>
        <v>0</v>
      </c>
      <c r="AI23" s="52">
        <f t="shared" si="23"/>
        <v>0</v>
      </c>
      <c r="AJ23" s="52">
        <f t="shared" si="24"/>
        <v>5.752541571428571</v>
      </c>
      <c r="AK23" s="52">
        <v>0</v>
      </c>
      <c r="AL23" s="52">
        <f t="shared" si="16"/>
        <v>0.18</v>
      </c>
      <c r="AM23" s="52">
        <f>LUX!$Y$16+LUX!$Y$22</f>
        <v>135.0496255784519</v>
      </c>
      <c r="AN23" s="60">
        <f t="shared" si="5"/>
        <v>0.1332843384267185</v>
      </c>
      <c r="AO23" s="52">
        <f>LUX!$Y$16+LUX!$AA$20+LUX!$Y$22+LUX!$AA$26+LUX!$AA$29</f>
        <v>135.2296255784519</v>
      </c>
      <c r="AP23" s="60">
        <f t="shared" si="6"/>
        <v>0.13310692773868185</v>
      </c>
      <c r="AQ23" s="52">
        <f>LUX!$I$4+LUX!$I$16+LUX!$I$22</f>
        <v>684.20488328982015</v>
      </c>
      <c r="AR23" s="60">
        <f t="shared" si="7"/>
        <v>0.84076301001667508</v>
      </c>
      <c r="AS23" s="52">
        <f>LUX!$I$4+LUX!$I$16+LUX!$I$22-AH23+AJ23</f>
        <v>689.95742486124868</v>
      </c>
      <c r="AT23" s="60">
        <f t="shared" si="8"/>
        <v>0.83375312217060571</v>
      </c>
      <c r="AU23" s="52">
        <f>LUX!$I$3</f>
        <v>10333.875042231528</v>
      </c>
      <c r="AV23" s="52">
        <f t="shared" si="9"/>
        <v>5.5666838895570288E-2</v>
      </c>
      <c r="AW23" s="63">
        <f t="shared" si="10"/>
        <v>10339.627583802956</v>
      </c>
      <c r="AX23" s="60">
        <f t="shared" si="11"/>
        <v>5.5635868166469912E-2</v>
      </c>
      <c r="AY23" s="53"/>
    </row>
    <row r="24" spans="1:51" s="19" customFormat="1" x14ac:dyDescent="0.35">
      <c r="A24" s="79" t="s">
        <v>84</v>
      </c>
      <c r="B24" s="18">
        <f>LVA!$G$9</f>
        <v>784.67048038019061</v>
      </c>
      <c r="C24" s="18">
        <f>(LVA!$Q$20+LVA!$Q$26)</f>
        <v>654.62621587392846</v>
      </c>
      <c r="D24" s="11">
        <f>(LVA!$W$20+LVA!$W$26)</f>
        <v>654.62621587392846</v>
      </c>
      <c r="E24" s="18">
        <f>LVA!$B$20</f>
        <v>2277.567504666667</v>
      </c>
      <c r="F24" s="18">
        <f>LVA!$M$20</f>
        <v>2366.9403892200003</v>
      </c>
      <c r="G24" s="18">
        <f>LVA!$S$20</f>
        <v>2366.9403892200003</v>
      </c>
      <c r="H24" s="18">
        <f>LVA!$F$20</f>
        <v>100.67675</v>
      </c>
      <c r="I24" s="18">
        <f>LVA!$P$20+LVA!$P$21</f>
        <v>128.24094036599999</v>
      </c>
      <c r="J24" s="18">
        <f>LVA!$V$20+LVA!$V$21</f>
        <v>128.24094036599999</v>
      </c>
      <c r="K24" s="18">
        <f>LVA!$Y$20</f>
        <v>78.627185999999995</v>
      </c>
      <c r="L24" s="11">
        <f>LVA!$AA$20</f>
        <v>78.627185999999995</v>
      </c>
      <c r="M24" s="18">
        <f>LVA!$B$26</f>
        <v>1460.5740086666667</v>
      </c>
      <c r="N24" s="18">
        <f>LVA!$M$26</f>
        <v>1756.0597664500001</v>
      </c>
      <c r="O24" s="18">
        <f>LVA!$S$26</f>
        <v>1756.0597664500001</v>
      </c>
      <c r="P24" s="18">
        <f>LVA!$F$26</f>
        <v>116.596225</v>
      </c>
      <c r="Q24" s="18">
        <f>LVA!$P$26+LVA!$P$27</f>
        <v>148.37921427000003</v>
      </c>
      <c r="R24" s="18">
        <f>LVA!$V$26+LVA!$V$27</f>
        <v>148.37921427000003</v>
      </c>
      <c r="S24" s="18">
        <f>LVA!$Y$26</f>
        <v>79.688085000000001</v>
      </c>
      <c r="T24" s="11">
        <f>LVA!$AA$26</f>
        <v>79.688085000000001</v>
      </c>
      <c r="U24" s="18">
        <f>LVA!$S$28</f>
        <v>0</v>
      </c>
      <c r="V24" s="18">
        <f>LVA!$V$28</f>
        <v>0</v>
      </c>
      <c r="W24" s="18">
        <f>LVA!$W$28</f>
        <v>0</v>
      </c>
      <c r="X24" s="18">
        <f>LVA!$AA$29</f>
        <v>0</v>
      </c>
      <c r="Y24" s="17">
        <f>E24+M24</f>
        <v>3738.1415133333339</v>
      </c>
      <c r="Z24" s="18">
        <f t="shared" si="18"/>
        <v>4123.0001556700008</v>
      </c>
      <c r="AA24" s="18">
        <f t="shared" si="12"/>
        <v>4123.0001556700008</v>
      </c>
      <c r="AB24" s="18">
        <f t="shared" si="19"/>
        <v>217.272975</v>
      </c>
      <c r="AC24" s="18">
        <f t="shared" si="2"/>
        <v>276.62015463600005</v>
      </c>
      <c r="AD24" s="18">
        <f t="shared" si="13"/>
        <v>276.62015463600005</v>
      </c>
      <c r="AE24" s="18">
        <f t="shared" si="20"/>
        <v>784.67048038019061</v>
      </c>
      <c r="AF24" s="18">
        <f t="shared" si="21"/>
        <v>654.62621587392846</v>
      </c>
      <c r="AG24" s="18">
        <f t="shared" si="14"/>
        <v>654.62621587392846</v>
      </c>
      <c r="AH24" s="18">
        <f t="shared" si="22"/>
        <v>4740.0849687135242</v>
      </c>
      <c r="AI24" s="18">
        <f t="shared" si="23"/>
        <v>5054.2465261799289</v>
      </c>
      <c r="AJ24" s="18">
        <f t="shared" si="24"/>
        <v>5054.2465261799289</v>
      </c>
      <c r="AK24" s="18">
        <f>K24+S24</f>
        <v>158.315271</v>
      </c>
      <c r="AL24" s="18">
        <f t="shared" si="16"/>
        <v>158.315271</v>
      </c>
      <c r="AM24" s="18">
        <f>LVA!$Y$16+LVA!$Y$22</f>
        <v>2499.3380729999999</v>
      </c>
      <c r="AN24" s="11">
        <f t="shared" si="5"/>
        <v>6.3342879744944378</v>
      </c>
      <c r="AO24" s="18">
        <f>LVA!$Y$16-LVA!$Y$20+LVA!$AA$20+LVA!$Y$22-LVA!$Y$26+LVA!$AA$26+LVA!$AA$29</f>
        <v>2499.3380729999999</v>
      </c>
      <c r="AP24" s="11">
        <f t="shared" si="6"/>
        <v>6.3342879744944378</v>
      </c>
      <c r="AQ24" s="18">
        <f>LVA!$I$4+LVA!$I$16+LVA!$I$22</f>
        <v>6727.1507388067175</v>
      </c>
      <c r="AR24" s="11">
        <f t="shared" si="7"/>
        <v>75.132054006514892</v>
      </c>
      <c r="AS24" s="18">
        <f>LVA!$I$4+LVA!$I$16+LVA!$I$22-AH24+AJ24</f>
        <v>7041.3122962731222</v>
      </c>
      <c r="AT24" s="11">
        <f t="shared" si="8"/>
        <v>71.779894336671845</v>
      </c>
      <c r="AU24" s="18">
        <f>LVA!$I$3</f>
        <v>13133.216275970271</v>
      </c>
      <c r="AV24" s="18">
        <f t="shared" si="9"/>
        <v>38.484453617257778</v>
      </c>
      <c r="AW24" s="17">
        <f t="shared" si="10"/>
        <v>13447.377833436676</v>
      </c>
      <c r="AX24" s="11">
        <f t="shared" si="11"/>
        <v>37.585368603331951</v>
      </c>
      <c r="AY24" s="53"/>
    </row>
    <row r="25" spans="1:51" s="19" customFormat="1" hidden="1" x14ac:dyDescent="0.35">
      <c r="A25" s="73"/>
      <c r="B25" s="52"/>
      <c r="C25" s="52"/>
      <c r="D25" s="60"/>
      <c r="E25" s="52"/>
      <c r="F25" s="52"/>
      <c r="G25" s="52"/>
      <c r="H25" s="52"/>
      <c r="I25" s="52"/>
      <c r="J25" s="52">
        <f>AUT!$V$20+AUT!$V$21</f>
        <v>97.86</v>
      </c>
      <c r="K25" s="52"/>
      <c r="L25" s="60"/>
      <c r="M25" s="63"/>
      <c r="N25" s="52"/>
      <c r="O25" s="52"/>
      <c r="P25" s="52"/>
      <c r="Q25" s="52">
        <f>AUT!$P$26+AUT!$P$27</f>
        <v>26.641196400000002</v>
      </c>
      <c r="R25" s="52">
        <f>AUT!$V$26+AUT!$V$27</f>
        <v>82.26400000000001</v>
      </c>
      <c r="S25" s="52"/>
      <c r="T25" s="60"/>
      <c r="U25" s="52">
        <f>AUT!$S$28</f>
        <v>0</v>
      </c>
      <c r="V25" s="52">
        <f>AUT!$V$28</f>
        <v>0</v>
      </c>
      <c r="W25" s="52">
        <f>AUT!$W$28</f>
        <v>0</v>
      </c>
      <c r="X25" s="52">
        <f>AUT!$AA$29</f>
        <v>0</v>
      </c>
      <c r="Y25" s="63"/>
      <c r="Z25" s="52"/>
      <c r="AA25" s="52">
        <f t="shared" si="12"/>
        <v>0</v>
      </c>
      <c r="AB25" s="52"/>
      <c r="AC25" s="52"/>
      <c r="AD25" s="52">
        <f t="shared" si="13"/>
        <v>180.12400000000002</v>
      </c>
      <c r="AE25" s="53"/>
      <c r="AF25" s="53"/>
      <c r="AG25" s="52">
        <f t="shared" si="14"/>
        <v>0</v>
      </c>
      <c r="AH25" s="53"/>
      <c r="AI25" s="53"/>
      <c r="AJ25" s="53"/>
      <c r="AK25" s="53"/>
      <c r="AL25" s="53">
        <f t="shared" si="16"/>
        <v>0</v>
      </c>
      <c r="AM25" s="53"/>
      <c r="AN25" s="61"/>
      <c r="AO25" s="52">
        <f>BEL!$Y$16-BEL!$Y$20+BEL!$AA$20+BEL!$Y$22-BEL!$Y$26+BEL!$AA$26+BEL!$AA$29</f>
        <v>1624.9864535005984</v>
      </c>
      <c r="AP25" s="60">
        <f t="shared" si="6"/>
        <v>0</v>
      </c>
      <c r="AQ25" s="53"/>
      <c r="AR25" s="61"/>
      <c r="AS25" s="52">
        <f>AUT!$I$4+AUT!$I$16+AUT!$I$22-AH25+AJ25</f>
        <v>7667.1132800962177</v>
      </c>
      <c r="AT25" s="60">
        <f t="shared" si="8"/>
        <v>0</v>
      </c>
      <c r="AU25" s="53"/>
      <c r="AV25" s="52"/>
      <c r="AW25" s="63">
        <f t="shared" si="10"/>
        <v>0</v>
      </c>
      <c r="AX25" s="60" t="e">
        <f t="shared" si="11"/>
        <v>#DIV/0!</v>
      </c>
      <c r="AY25" s="53"/>
    </row>
    <row r="26" spans="1:51" s="19" customFormat="1" hidden="1" x14ac:dyDescent="0.35">
      <c r="A26" s="73"/>
      <c r="B26" s="53"/>
      <c r="C26" s="53"/>
      <c r="D26" s="61"/>
      <c r="E26" s="53"/>
      <c r="F26" s="53"/>
      <c r="G26" s="53"/>
      <c r="H26" s="53"/>
      <c r="I26" s="53"/>
      <c r="J26" s="52">
        <f>AUT!$V$20+AUT!$V$21</f>
        <v>97.86</v>
      </c>
      <c r="K26" s="52"/>
      <c r="L26" s="60"/>
      <c r="M26" s="62"/>
      <c r="N26" s="53"/>
      <c r="O26" s="50"/>
      <c r="P26" s="50"/>
      <c r="Q26" s="52">
        <f>AUT!$P$26+AUT!$P$27</f>
        <v>26.641196400000002</v>
      </c>
      <c r="R26" s="52">
        <f>AUT!$V$26+AUT!$V$27</f>
        <v>82.26400000000001</v>
      </c>
      <c r="S26" s="52"/>
      <c r="T26" s="60"/>
      <c r="U26" s="52">
        <f>AUT!$S$28</f>
        <v>0</v>
      </c>
      <c r="V26" s="52">
        <f>AUT!$V$28</f>
        <v>0</v>
      </c>
      <c r="W26" s="52">
        <f>AUT!$W$28</f>
        <v>0</v>
      </c>
      <c r="X26" s="52">
        <f>AUT!$AA$29</f>
        <v>0</v>
      </c>
      <c r="Y26" s="62"/>
      <c r="Z26" s="53"/>
      <c r="AA26" s="52">
        <f t="shared" si="12"/>
        <v>0</v>
      </c>
      <c r="AB26" s="52"/>
      <c r="AC26" s="52"/>
      <c r="AD26" s="52">
        <f t="shared" si="13"/>
        <v>180.12400000000002</v>
      </c>
      <c r="AE26" s="53"/>
      <c r="AF26" s="53"/>
      <c r="AG26" s="52">
        <f t="shared" si="14"/>
        <v>0</v>
      </c>
      <c r="AH26" s="53"/>
      <c r="AI26" s="53"/>
      <c r="AJ26" s="53"/>
      <c r="AK26" s="53"/>
      <c r="AL26" s="53">
        <f t="shared" si="16"/>
        <v>0</v>
      </c>
      <c r="AM26" s="53"/>
      <c r="AN26" s="61"/>
      <c r="AO26" s="52">
        <f>BEL!$Y$16-BEL!$Y$20+BEL!$AA$20+BEL!$Y$22-BEL!$Y$26+BEL!$AA$26+BEL!$AA$29</f>
        <v>1624.9864535005984</v>
      </c>
      <c r="AP26" s="60">
        <f t="shared" si="6"/>
        <v>0</v>
      </c>
      <c r="AQ26" s="53"/>
      <c r="AR26" s="61"/>
      <c r="AS26" s="52">
        <f>AUT!$I$4+AUT!$I$16+AUT!$I$22-AH26+AJ26</f>
        <v>7667.1132800962177</v>
      </c>
      <c r="AT26" s="60">
        <f t="shared" si="8"/>
        <v>0</v>
      </c>
      <c r="AU26" s="53"/>
      <c r="AV26" s="52"/>
      <c r="AW26" s="63">
        <f t="shared" si="10"/>
        <v>0</v>
      </c>
      <c r="AX26" s="60" t="e">
        <f t="shared" si="11"/>
        <v>#DIV/0!</v>
      </c>
      <c r="AY26" s="53"/>
    </row>
    <row r="27" spans="1:51" s="19" customFormat="1" hidden="1" x14ac:dyDescent="0.35">
      <c r="A27" s="73"/>
      <c r="B27" s="52"/>
      <c r="C27" s="52"/>
      <c r="D27" s="60"/>
      <c r="E27" s="52"/>
      <c r="F27" s="52"/>
      <c r="G27" s="52"/>
      <c r="H27" s="52"/>
      <c r="I27" s="52"/>
      <c r="J27" s="52">
        <f>AUT!$V$20+AUT!$V$21</f>
        <v>97.86</v>
      </c>
      <c r="K27" s="52"/>
      <c r="L27" s="60"/>
      <c r="M27" s="62"/>
      <c r="N27" s="53"/>
      <c r="O27" s="52"/>
      <c r="P27" s="52"/>
      <c r="Q27" s="52">
        <f>AUT!$P$26+AUT!$P$27</f>
        <v>26.641196400000002</v>
      </c>
      <c r="R27" s="52">
        <f>AUT!$V$26+AUT!$V$27</f>
        <v>82.26400000000001</v>
      </c>
      <c r="S27" s="52"/>
      <c r="T27" s="60"/>
      <c r="U27" s="52">
        <f>AUT!$S$28</f>
        <v>0</v>
      </c>
      <c r="V27" s="52">
        <f>AUT!$V$28</f>
        <v>0</v>
      </c>
      <c r="W27" s="52">
        <f>AUT!$W$28</f>
        <v>0</v>
      </c>
      <c r="X27" s="52">
        <f>AUT!$AA$29</f>
        <v>0</v>
      </c>
      <c r="Y27" s="63"/>
      <c r="Z27" s="52"/>
      <c r="AA27" s="52">
        <f t="shared" si="12"/>
        <v>0</v>
      </c>
      <c r="AB27" s="52"/>
      <c r="AC27" s="52"/>
      <c r="AD27" s="52">
        <f t="shared" si="13"/>
        <v>180.12400000000002</v>
      </c>
      <c r="AE27" s="53"/>
      <c r="AF27" s="53"/>
      <c r="AG27" s="52">
        <f t="shared" si="14"/>
        <v>0</v>
      </c>
      <c r="AH27" s="53"/>
      <c r="AI27" s="53"/>
      <c r="AJ27" s="53"/>
      <c r="AK27" s="53"/>
      <c r="AL27" s="53">
        <f t="shared" si="16"/>
        <v>0</v>
      </c>
      <c r="AM27" s="53"/>
      <c r="AN27" s="61"/>
      <c r="AO27" s="52">
        <f>BEL!$Y$16-BEL!$Y$20+BEL!$AA$20+BEL!$Y$22-BEL!$Y$26+BEL!$AA$26+BEL!$AA$29</f>
        <v>1624.9864535005984</v>
      </c>
      <c r="AP27" s="60">
        <f t="shared" si="6"/>
        <v>0</v>
      </c>
      <c r="AQ27" s="53"/>
      <c r="AR27" s="61"/>
      <c r="AS27" s="52">
        <f>AUT!$I$4+AUT!$I$16+AUT!$I$22-AH27+AJ27</f>
        <v>7667.1132800962177</v>
      </c>
      <c r="AT27" s="60">
        <f t="shared" si="8"/>
        <v>0</v>
      </c>
      <c r="AU27" s="53"/>
      <c r="AV27" s="52"/>
      <c r="AW27" s="63">
        <f t="shared" si="10"/>
        <v>0</v>
      </c>
      <c r="AX27" s="60" t="e">
        <f t="shared" si="11"/>
        <v>#DIV/0!</v>
      </c>
      <c r="AY27" s="53"/>
    </row>
    <row r="28" spans="1:51" s="19" customFormat="1" hidden="1" x14ac:dyDescent="0.35">
      <c r="A28" s="73"/>
      <c r="B28" s="52"/>
      <c r="C28" s="52"/>
      <c r="D28" s="60"/>
      <c r="E28" s="52"/>
      <c r="F28" s="52"/>
      <c r="G28" s="52"/>
      <c r="H28" s="52"/>
      <c r="I28" s="52"/>
      <c r="J28" s="52">
        <f>AUT!$V$20+AUT!$V$21</f>
        <v>97.86</v>
      </c>
      <c r="K28" s="53"/>
      <c r="L28" s="61"/>
      <c r="M28" s="63"/>
      <c r="N28" s="52"/>
      <c r="O28" s="52"/>
      <c r="P28" s="52"/>
      <c r="Q28" s="52">
        <f>AUT!$P$26+AUT!$P$27</f>
        <v>26.641196400000002</v>
      </c>
      <c r="R28" s="52">
        <f>AUT!$V$26+AUT!$V$27</f>
        <v>82.26400000000001</v>
      </c>
      <c r="S28" s="52"/>
      <c r="T28" s="60"/>
      <c r="U28" s="52">
        <f>AUT!$S$28</f>
        <v>0</v>
      </c>
      <c r="V28" s="52">
        <f>AUT!$V$28</f>
        <v>0</v>
      </c>
      <c r="W28" s="52">
        <f>AUT!$W$28</f>
        <v>0</v>
      </c>
      <c r="X28" s="52">
        <f>AUT!$AA$29</f>
        <v>0</v>
      </c>
      <c r="Y28" s="63"/>
      <c r="Z28" s="52"/>
      <c r="AA28" s="52">
        <f t="shared" si="12"/>
        <v>0</v>
      </c>
      <c r="AB28" s="52"/>
      <c r="AC28" s="52"/>
      <c r="AD28" s="52">
        <f t="shared" si="13"/>
        <v>180.12400000000002</v>
      </c>
      <c r="AE28" s="52"/>
      <c r="AF28" s="52"/>
      <c r="AG28" s="52">
        <f t="shared" si="14"/>
        <v>0</v>
      </c>
      <c r="AH28" s="52"/>
      <c r="AI28" s="52"/>
      <c r="AJ28" s="52"/>
      <c r="AK28" s="52"/>
      <c r="AL28" s="52">
        <f t="shared" si="16"/>
        <v>0</v>
      </c>
      <c r="AM28" s="52"/>
      <c r="AN28" s="60"/>
      <c r="AO28" s="52">
        <f>BEL!$Y$16-BEL!$Y$20+BEL!$AA$20+BEL!$Y$22-BEL!$Y$26+BEL!$AA$26+BEL!$AA$29</f>
        <v>1624.9864535005984</v>
      </c>
      <c r="AP28" s="60">
        <f t="shared" si="6"/>
        <v>0</v>
      </c>
      <c r="AQ28" s="52"/>
      <c r="AR28" s="60"/>
      <c r="AS28" s="52">
        <f>AUT!$I$4+AUT!$I$16+AUT!$I$22-AH28+AJ28</f>
        <v>7667.1132800962177</v>
      </c>
      <c r="AT28" s="60">
        <f t="shared" si="8"/>
        <v>0</v>
      </c>
      <c r="AU28" s="52"/>
      <c r="AV28" s="52"/>
      <c r="AW28" s="63">
        <f t="shared" si="10"/>
        <v>0</v>
      </c>
      <c r="AX28" s="60" t="e">
        <f t="shared" si="11"/>
        <v>#DIV/0!</v>
      </c>
      <c r="AY28" s="52"/>
    </row>
    <row r="29" spans="1:51" s="19" customFormat="1" hidden="1" x14ac:dyDescent="0.35">
      <c r="A29" s="73"/>
      <c r="B29" s="53"/>
      <c r="C29" s="53"/>
      <c r="D29" s="61"/>
      <c r="E29" s="53"/>
      <c r="F29" s="53"/>
      <c r="G29" s="50"/>
      <c r="H29" s="50"/>
      <c r="I29" s="50"/>
      <c r="J29" s="52">
        <f>AUT!$V$20+AUT!$V$21</f>
        <v>97.86</v>
      </c>
      <c r="K29" s="53"/>
      <c r="L29" s="61"/>
      <c r="M29" s="62"/>
      <c r="N29" s="53"/>
      <c r="O29" s="50"/>
      <c r="P29" s="50"/>
      <c r="Q29" s="52">
        <f>AUT!$P$26+AUT!$P$27</f>
        <v>26.641196400000002</v>
      </c>
      <c r="R29" s="52">
        <f>AUT!$V$26+AUT!$V$27</f>
        <v>82.26400000000001</v>
      </c>
      <c r="S29" s="50"/>
      <c r="T29" s="16"/>
      <c r="U29" s="52">
        <f>AUT!$S$28</f>
        <v>0</v>
      </c>
      <c r="V29" s="52">
        <f>AUT!$V$28</f>
        <v>0</v>
      </c>
      <c r="W29" s="52">
        <f>AUT!$W$28</f>
        <v>0</v>
      </c>
      <c r="X29" s="52">
        <f>AUT!$AA$29</f>
        <v>0</v>
      </c>
      <c r="Y29" s="72"/>
      <c r="Z29" s="50"/>
      <c r="AA29" s="52">
        <f t="shared" si="12"/>
        <v>0</v>
      </c>
      <c r="AB29" s="50"/>
      <c r="AC29" s="50"/>
      <c r="AD29" s="52">
        <f t="shared" si="13"/>
        <v>180.12400000000002</v>
      </c>
      <c r="AE29" s="52"/>
      <c r="AF29" s="52"/>
      <c r="AG29" s="52">
        <f t="shared" si="14"/>
        <v>0</v>
      </c>
      <c r="AH29" s="50"/>
      <c r="AI29" s="50"/>
      <c r="AJ29" s="50"/>
      <c r="AK29" s="50"/>
      <c r="AL29" s="50">
        <f t="shared" si="16"/>
        <v>0</v>
      </c>
      <c r="AM29" s="52"/>
      <c r="AN29" s="61"/>
      <c r="AO29" s="52">
        <f>BEL!$Y$16-BEL!$Y$20+BEL!$AA$20+BEL!$Y$22-BEL!$Y$26+BEL!$AA$26+BEL!$AA$29</f>
        <v>1624.9864535005984</v>
      </c>
      <c r="AP29" s="60">
        <f t="shared" si="6"/>
        <v>0</v>
      </c>
      <c r="AQ29" s="52"/>
      <c r="AR29" s="61"/>
      <c r="AS29" s="52">
        <f>AUT!$I$4+AUT!$I$16+AUT!$I$22-AH29+AJ29</f>
        <v>7667.1132800962177</v>
      </c>
      <c r="AT29" s="60">
        <f t="shared" si="8"/>
        <v>0</v>
      </c>
      <c r="AU29" s="52"/>
      <c r="AV29" s="52"/>
      <c r="AW29" s="63">
        <f t="shared" si="10"/>
        <v>0</v>
      </c>
      <c r="AX29" s="60" t="e">
        <f t="shared" si="11"/>
        <v>#DIV/0!</v>
      </c>
      <c r="AY29" s="53"/>
    </row>
    <row r="30" spans="1:51" s="19" customFormat="1" collapsed="1" x14ac:dyDescent="0.35">
      <c r="A30" s="73" t="s">
        <v>85</v>
      </c>
      <c r="B30" s="52">
        <f>MLT!$G$9</f>
        <v>0</v>
      </c>
      <c r="C30" s="52">
        <f>(MLT!$Q$20+MLT!$Q$26)</f>
        <v>0</v>
      </c>
      <c r="D30" s="60">
        <f>(MLT!$W$20+MLT!$W$26)</f>
        <v>0</v>
      </c>
      <c r="E30" s="52">
        <f>MLT!$B$20</f>
        <v>0</v>
      </c>
      <c r="F30" s="52">
        <f>MLT!$M$20</f>
        <v>0</v>
      </c>
      <c r="G30" s="52">
        <f>MLT!$S$20</f>
        <v>0</v>
      </c>
      <c r="H30" s="52">
        <f>MLT!$F$20</f>
        <v>0</v>
      </c>
      <c r="I30" s="52">
        <f>MLT!$P$20+MLT!$P$21</f>
        <v>0</v>
      </c>
      <c r="J30" s="52">
        <f>MLT!$V$20+MLT!$V$21</f>
        <v>0</v>
      </c>
      <c r="K30" s="52" t="str">
        <f>MLT!$Y$20</f>
        <v>NO</v>
      </c>
      <c r="L30" s="60">
        <f>MLT!$AA$20</f>
        <v>0</v>
      </c>
      <c r="M30" s="52">
        <f>MLT!$B$26</f>
        <v>0</v>
      </c>
      <c r="N30" s="52">
        <f>MLT!$M$26</f>
        <v>0</v>
      </c>
      <c r="O30" s="52">
        <f>MLT!$S$26</f>
        <v>0</v>
      </c>
      <c r="P30" s="52">
        <f>MLT!$F$26</f>
        <v>0</v>
      </c>
      <c r="Q30" s="52">
        <f>MLT!$P$26+MLT!$P$27</f>
        <v>0</v>
      </c>
      <c r="R30" s="52">
        <f>MLT!$V$26+MLT!$V$27</f>
        <v>0</v>
      </c>
      <c r="S30" s="52" t="str">
        <f>MLT!$Y$26</f>
        <v>NO</v>
      </c>
      <c r="T30" s="60">
        <f>MLT!$AA$26</f>
        <v>0</v>
      </c>
      <c r="U30" s="52">
        <f>MLT!$S$28</f>
        <v>0</v>
      </c>
      <c r="V30" s="52">
        <f>MLT!$V$28</f>
        <v>0</v>
      </c>
      <c r="W30" s="52">
        <f>MLT!$W$28</f>
        <v>0</v>
      </c>
      <c r="X30" s="52">
        <f>MLT!$AA$29</f>
        <v>0</v>
      </c>
      <c r="Y30" s="63">
        <f>E30+M30</f>
        <v>0</v>
      </c>
      <c r="Z30" s="52">
        <f>F30+N30</f>
        <v>0</v>
      </c>
      <c r="AA30" s="52">
        <f t="shared" si="12"/>
        <v>0</v>
      </c>
      <c r="AB30" s="52">
        <f>H30+P30</f>
        <v>0</v>
      </c>
      <c r="AC30" s="52">
        <f>I30+Q30</f>
        <v>0</v>
      </c>
      <c r="AD30" s="52">
        <f t="shared" si="13"/>
        <v>0</v>
      </c>
      <c r="AE30" s="52">
        <f>B30</f>
        <v>0</v>
      </c>
      <c r="AF30" s="52">
        <f>C30</f>
        <v>0</v>
      </c>
      <c r="AG30" s="52">
        <f t="shared" si="14"/>
        <v>0</v>
      </c>
      <c r="AH30" s="52">
        <f>Y30+AB30+AE30</f>
        <v>0</v>
      </c>
      <c r="AI30" s="52">
        <f>Z30+AC30+AF30</f>
        <v>0</v>
      </c>
      <c r="AJ30" s="52">
        <f>AA30+AD30+AG30</f>
        <v>0</v>
      </c>
      <c r="AK30" s="52">
        <v>0</v>
      </c>
      <c r="AL30" s="52">
        <f t="shared" si="16"/>
        <v>0</v>
      </c>
      <c r="AM30" s="52">
        <f>MLT!$Y$16+MLT!$Y$22</f>
        <v>14.198</v>
      </c>
      <c r="AN30" s="60">
        <f t="shared" ref="AN30:AN38" si="25">AL30/AM30*100</f>
        <v>0</v>
      </c>
      <c r="AO30" s="52">
        <f>MLT!$Y$16+MLT!$AA$20+MLT!$Y$22+MLT!$AA$26+MLT!$AA$29</f>
        <v>14.198</v>
      </c>
      <c r="AP30" s="60">
        <f t="shared" si="6"/>
        <v>0</v>
      </c>
      <c r="AQ30" s="52">
        <f>MLT!$I$4+MLT!$I$16+MLT!$I$22</f>
        <v>68.137362358867662</v>
      </c>
      <c r="AR30" s="60">
        <f t="shared" ref="AR30:AR38" si="26">AJ30/AQ30*100</f>
        <v>0</v>
      </c>
      <c r="AS30" s="52">
        <f>MLT!$I$4+MLT!$I$16+MLT!$I$22-AH30+AJ30</f>
        <v>68.137362358867662</v>
      </c>
      <c r="AT30" s="60">
        <f t="shared" si="8"/>
        <v>0</v>
      </c>
      <c r="AU30" s="52">
        <f>MLT!$I$3</f>
        <v>2190.4544093595518</v>
      </c>
      <c r="AV30" s="52">
        <f t="shared" ref="AV30:AV38" si="27">AJ30/AU30*100</f>
        <v>0</v>
      </c>
      <c r="AW30" s="63">
        <f t="shared" si="10"/>
        <v>2190.4544093595518</v>
      </c>
      <c r="AX30" s="60">
        <f t="shared" si="11"/>
        <v>0</v>
      </c>
      <c r="AY30" s="53"/>
    </row>
    <row r="31" spans="1:51" s="19" customFormat="1" x14ac:dyDescent="0.35">
      <c r="A31" s="79" t="s">
        <v>86</v>
      </c>
      <c r="B31" s="18">
        <f>NLD!$G$9</f>
        <v>684.11768474655958</v>
      </c>
      <c r="C31" s="18">
        <f>(NLD!$Q$20+NLD!$Q$26)</f>
        <v>1126.2347170947328</v>
      </c>
      <c r="D31" s="11">
        <f>(NLD!$W$20+NLD!$W$26)</f>
        <v>1126.2347195927143</v>
      </c>
      <c r="E31" s="18">
        <f>NLD!$B$20</f>
        <v>811.83322095258529</v>
      </c>
      <c r="F31" s="18">
        <f>NLD!$M$20</f>
        <v>1830.3977418950342</v>
      </c>
      <c r="G31" s="18">
        <f>NLD!$S$20</f>
        <v>1830.3977517100002</v>
      </c>
      <c r="H31" s="18">
        <f>NLD!$F$20</f>
        <v>0</v>
      </c>
      <c r="I31" s="18">
        <f>NLD!$P$20+NLD!$P$21</f>
        <v>99.171034781224691</v>
      </c>
      <c r="J31" s="18">
        <f>NLD!$V$20+NLD!$V$21</f>
        <v>99.171035313000004</v>
      </c>
      <c r="K31" s="18">
        <f>NLD!$Y$20</f>
        <v>60.803822673957498</v>
      </c>
      <c r="L31" s="11">
        <f>NLD!$AA$20</f>
        <v>60.803823000000001</v>
      </c>
      <c r="M31" s="18">
        <f>NLD!$B$26</f>
        <v>4119.403343269888</v>
      </c>
      <c r="N31" s="18">
        <f>NLD!$M$26</f>
        <v>6112.96833072562</v>
      </c>
      <c r="O31" s="18">
        <f>NLD!$S$26</f>
        <v>6112.9683363466656</v>
      </c>
      <c r="P31" s="18">
        <f>NLD!$F$26</f>
        <v>0</v>
      </c>
      <c r="Q31" s="18">
        <f>NLD!$P$26+NLD!$P$27</f>
        <v>516.5185462930466</v>
      </c>
      <c r="R31" s="18">
        <f>NLD!$V$26+NLD!$V$27</f>
        <v>516.51854676800008</v>
      </c>
      <c r="S31" s="18">
        <f>NLD!$Y$26</f>
        <v>277.39986374492298</v>
      </c>
      <c r="T31" s="11">
        <f>NLD!$AA$26</f>
        <v>277.39986399999998</v>
      </c>
      <c r="U31" s="18">
        <f>NLD!$S$28</f>
        <v>0</v>
      </c>
      <c r="V31" s="18">
        <f>NLD!$V$28</f>
        <v>0</v>
      </c>
      <c r="W31" s="18">
        <f>NLD!$W$28</f>
        <v>0</v>
      </c>
      <c r="X31" s="18">
        <f>NLD!$AA$29</f>
        <v>0</v>
      </c>
      <c r="Y31" s="17">
        <f t="shared" ref="Y31:Y36" si="28">E31+M31</f>
        <v>4931.2365642224731</v>
      </c>
      <c r="Z31" s="18">
        <f t="shared" ref="Z31:Z37" si="29">F31+N31</f>
        <v>7943.3660726206544</v>
      </c>
      <c r="AA31" s="18">
        <f t="shared" si="12"/>
        <v>7943.3660880566658</v>
      </c>
      <c r="AB31" s="18">
        <f t="shared" ref="AB31:AB37" si="30">H31+P31</f>
        <v>0</v>
      </c>
      <c r="AC31" s="18">
        <f t="shared" ref="AC31:AC37" si="31">I31+Q31</f>
        <v>615.68958107427125</v>
      </c>
      <c r="AD31" s="18">
        <f t="shared" si="13"/>
        <v>615.68958208100003</v>
      </c>
      <c r="AE31" s="18">
        <f t="shared" ref="AE31:AE37" si="32">B31</f>
        <v>684.11768474655958</v>
      </c>
      <c r="AF31" s="18">
        <f t="shared" ref="AF31:AF37" si="33">C31</f>
        <v>1126.2347170947328</v>
      </c>
      <c r="AG31" s="18">
        <f t="shared" si="14"/>
        <v>1126.2347195927143</v>
      </c>
      <c r="AH31" s="18">
        <f t="shared" ref="AH31:AH37" si="34">Y31+AB31+AE31</f>
        <v>5615.3542489690326</v>
      </c>
      <c r="AI31" s="18">
        <f t="shared" ref="AI31:AI37" si="35">Z31+AC31+AF31</f>
        <v>9685.2903707896585</v>
      </c>
      <c r="AJ31" s="18">
        <f t="shared" ref="AJ31:AJ37" si="36">AA31+AD31+AG31</f>
        <v>9685.2903897303804</v>
      </c>
      <c r="AK31" s="18">
        <f>K31+S31</f>
        <v>338.20368641888047</v>
      </c>
      <c r="AL31" s="18">
        <f t="shared" si="16"/>
        <v>338.203687</v>
      </c>
      <c r="AM31" s="18">
        <f>NLD!$Y$16+NLD!$Y$22</f>
        <v>2291.6460010515802</v>
      </c>
      <c r="AN31" s="11">
        <f t="shared" si="25"/>
        <v>14.75811215365753</v>
      </c>
      <c r="AO31" s="18">
        <f>NLD!$Y$16-NLD!$Y$20+NLD!$AA$20+NLD!$Y$22-NLD!$Y$26+NLD!$AA$26+NLD!$AA$29</f>
        <v>2291.6460016327001</v>
      </c>
      <c r="AP31" s="11">
        <f t="shared" si="6"/>
        <v>14.75811214991514</v>
      </c>
      <c r="AQ31" s="18">
        <f>NLD!$I$4+NLD!$I$16+NLD!$I$22</f>
        <v>23104.952836394059</v>
      </c>
      <c r="AR31" s="11">
        <f t="shared" si="26"/>
        <v>41.918676304218515</v>
      </c>
      <c r="AS31" s="18">
        <f>NLD!$I$4+NLD!$I$16+NLD!$I$22-AH31+AJ31</f>
        <v>27174.888977155406</v>
      </c>
      <c r="AT31" s="11">
        <f t="shared" si="8"/>
        <v>35.640588625301575</v>
      </c>
      <c r="AU31" s="18">
        <f>NLD!$I$3</f>
        <v>192671.29051482861</v>
      </c>
      <c r="AV31" s="18">
        <f t="shared" si="27"/>
        <v>5.0268466899509185</v>
      </c>
      <c r="AW31" s="17">
        <f t="shared" si="10"/>
        <v>196741.22665558997</v>
      </c>
      <c r="AX31" s="11">
        <f t="shared" si="11"/>
        <v>4.9228575801680829</v>
      </c>
      <c r="AY31" s="53"/>
    </row>
    <row r="32" spans="1:51" s="19" customFormat="1" x14ac:dyDescent="0.35">
      <c r="A32" s="73" t="s">
        <v>87</v>
      </c>
      <c r="B32" s="52">
        <f>POL!$G$9</f>
        <v>3453.2848124342922</v>
      </c>
      <c r="C32" s="52">
        <f>(POL!$Q$20+POL!$Q$26)</f>
        <v>3055.327106401433</v>
      </c>
      <c r="D32" s="60">
        <f>(POL!$W$20+POL!$W$26)</f>
        <v>3055.3271064014289</v>
      </c>
      <c r="E32" s="52">
        <f>POL!$B$20</f>
        <v>586.66754666666543</v>
      </c>
      <c r="F32" s="52">
        <f>POL!$M$20</f>
        <v>4819.6610696666567</v>
      </c>
      <c r="G32" s="52">
        <f>POL!$S$20</f>
        <v>4819.6610696666676</v>
      </c>
      <c r="H32" s="52">
        <f>POL!$F$20</f>
        <v>0</v>
      </c>
      <c r="I32" s="52">
        <f>POL!$P$20+POL!$P$21</f>
        <v>261.12946089999951</v>
      </c>
      <c r="J32" s="52">
        <f>POL!$V$20+POL!$V$21</f>
        <v>261.12946090000003</v>
      </c>
      <c r="K32" s="52">
        <f>POL!$Y$20</f>
        <v>160.10389999999967</v>
      </c>
      <c r="L32" s="60">
        <f>POL!$AA$20</f>
        <v>160.10390000000001</v>
      </c>
      <c r="M32" s="52">
        <f>POL!$B$26</f>
        <v>698.21130500000197</v>
      </c>
      <c r="N32" s="52">
        <f>POL!$M$26</f>
        <v>16784.999772200044</v>
      </c>
      <c r="O32" s="52">
        <f>POL!$S$26</f>
        <v>16784.999772200001</v>
      </c>
      <c r="P32" s="52">
        <f>POL!$F$26</f>
        <v>0</v>
      </c>
      <c r="Q32" s="52">
        <f>POL!$P$26+POL!$P$27</f>
        <v>1418.2575817200041</v>
      </c>
      <c r="R32" s="52">
        <f>POL!$V$26+POL!$V$27</f>
        <v>1418.2575817200002</v>
      </c>
      <c r="S32" s="52">
        <f>POL!$Y$26</f>
        <v>761.68506000000218</v>
      </c>
      <c r="T32" s="60">
        <f>POL!$AA$26</f>
        <v>761.68506000000002</v>
      </c>
      <c r="U32" s="52">
        <f>POL!$S$28</f>
        <v>0</v>
      </c>
      <c r="V32" s="52">
        <f>POL!$V$28</f>
        <v>0</v>
      </c>
      <c r="W32" s="52">
        <f>POL!$W$28</f>
        <v>0</v>
      </c>
      <c r="X32" s="52">
        <f>POL!$AA$29</f>
        <v>0</v>
      </c>
      <c r="Y32" s="63">
        <f t="shared" si="28"/>
        <v>1284.8788516666673</v>
      </c>
      <c r="Z32" s="52">
        <f t="shared" si="29"/>
        <v>21604.660841866702</v>
      </c>
      <c r="AA32" s="52">
        <f t="shared" si="12"/>
        <v>21604.660841866669</v>
      </c>
      <c r="AB32" s="52">
        <f t="shared" si="30"/>
        <v>0</v>
      </c>
      <c r="AC32" s="52">
        <f t="shared" si="31"/>
        <v>1679.3870426200035</v>
      </c>
      <c r="AD32" s="52">
        <f t="shared" si="13"/>
        <v>1679.3870426200001</v>
      </c>
      <c r="AE32" s="52">
        <f t="shared" si="32"/>
        <v>3453.2848124342922</v>
      </c>
      <c r="AF32" s="52">
        <f t="shared" si="33"/>
        <v>3055.327106401433</v>
      </c>
      <c r="AG32" s="52">
        <f t="shared" si="14"/>
        <v>3055.3271064014289</v>
      </c>
      <c r="AH32" s="52">
        <f t="shared" si="34"/>
        <v>4738.1636641009591</v>
      </c>
      <c r="AI32" s="52">
        <f t="shared" si="35"/>
        <v>26339.37499088814</v>
      </c>
      <c r="AJ32" s="52">
        <f t="shared" si="36"/>
        <v>26339.3749908881</v>
      </c>
      <c r="AK32" s="52">
        <f>K32+S32</f>
        <v>921.78896000000191</v>
      </c>
      <c r="AL32" s="52">
        <f t="shared" si="16"/>
        <v>921.78896000000009</v>
      </c>
      <c r="AM32" s="52">
        <f>POL!$Y$16+POL!$Y$22</f>
        <v>18094.275000000001</v>
      </c>
      <c r="AN32" s="60">
        <f t="shared" si="25"/>
        <v>5.0943680252455543</v>
      </c>
      <c r="AO32" s="52">
        <f>POL!$Y$16-POL!$Y$20+POL!$AA$20+POL!$Y$22-POL!$Y$26+POL!$AA$26+POL!$AA$29</f>
        <v>18094.274999999998</v>
      </c>
      <c r="AP32" s="60">
        <f t="shared" si="6"/>
        <v>5.0943680252455552</v>
      </c>
      <c r="AQ32" s="52">
        <f>POL!$I$4+POL!$I$16+POL!$I$22</f>
        <v>32454.010724035972</v>
      </c>
      <c r="AR32" s="60">
        <f t="shared" si="26"/>
        <v>81.159075267639352</v>
      </c>
      <c r="AS32" s="52">
        <f>POL!$I$4+POL!$I$16+POL!$I$22-AH32+AJ32</f>
        <v>54055.222050823111</v>
      </c>
      <c r="AT32" s="60">
        <f t="shared" si="8"/>
        <v>48.726790847558874</v>
      </c>
      <c r="AU32" s="52">
        <f>POL!$I$3</f>
        <v>376405.33259213407</v>
      </c>
      <c r="AV32" s="52">
        <f t="shared" si="27"/>
        <v>6.9976094146968331</v>
      </c>
      <c r="AW32" s="63">
        <f t="shared" si="10"/>
        <v>398006.5439189212</v>
      </c>
      <c r="AX32" s="60">
        <f t="shared" si="11"/>
        <v>6.6178246044752846</v>
      </c>
      <c r="AY32" s="53"/>
    </row>
    <row r="33" spans="1:51" s="19" customFormat="1" x14ac:dyDescent="0.35">
      <c r="A33" s="79" t="s">
        <v>88</v>
      </c>
      <c r="B33" s="18">
        <f>PRT!$G$9</f>
        <v>0</v>
      </c>
      <c r="C33" s="18">
        <f>(PRT!$Q$20+PRT!$Q$26)</f>
        <v>0</v>
      </c>
      <c r="D33" s="11">
        <f>(PRT!$W$20+PRT!$W$26)</f>
        <v>0</v>
      </c>
      <c r="E33" s="18">
        <f>PRT!$B$20</f>
        <v>0</v>
      </c>
      <c r="F33" s="18">
        <f>PRT!$M$20</f>
        <v>0</v>
      </c>
      <c r="G33" s="18">
        <f>PRT!$S$20</f>
        <v>0</v>
      </c>
      <c r="H33" s="18">
        <f>PRT!$F$20</f>
        <v>0</v>
      </c>
      <c r="I33" s="18">
        <f>PRT!$P$20+PRT!$P$21</f>
        <v>0</v>
      </c>
      <c r="J33" s="18">
        <f>PRT!$V$20+PRT!$V$21</f>
        <v>0</v>
      </c>
      <c r="K33" s="18" t="str">
        <f>PRT!$Y$20</f>
        <v>NO</v>
      </c>
      <c r="L33" s="11">
        <f>PRT!$AA$20</f>
        <v>0</v>
      </c>
      <c r="M33" s="18">
        <f>PRT!$B$26</f>
        <v>0</v>
      </c>
      <c r="N33" s="18">
        <f>PRT!$M$26</f>
        <v>0</v>
      </c>
      <c r="O33" s="18">
        <f>PRT!$S$26</f>
        <v>0</v>
      </c>
      <c r="P33" s="18">
        <f>PRT!$F$26</f>
        <v>0</v>
      </c>
      <c r="Q33" s="18">
        <f>PRT!$P$26+PRT!$P$27</f>
        <v>0</v>
      </c>
      <c r="R33" s="18">
        <f>PRT!$V$26+PRT!$V$27</f>
        <v>0</v>
      </c>
      <c r="S33" s="18" t="str">
        <f>PRT!$Y$26</f>
        <v>NO</v>
      </c>
      <c r="T33" s="11">
        <f>PRT!$AA$26</f>
        <v>0</v>
      </c>
      <c r="U33" s="18">
        <f>PRT!$S$28</f>
        <v>680.42700000000002</v>
      </c>
      <c r="V33" s="18">
        <f>PRT!$V$28</f>
        <v>45.547110000000004</v>
      </c>
      <c r="W33" s="18">
        <f>PRT!$W$28</f>
        <v>108.14441785714286</v>
      </c>
      <c r="X33" s="18">
        <f>PRT!$AA$29</f>
        <v>26.1</v>
      </c>
      <c r="Y33" s="17">
        <f t="shared" si="28"/>
        <v>0</v>
      </c>
      <c r="Z33" s="18">
        <f t="shared" si="29"/>
        <v>0</v>
      </c>
      <c r="AA33" s="18">
        <f t="shared" si="12"/>
        <v>680.42700000000002</v>
      </c>
      <c r="AB33" s="18">
        <f t="shared" si="30"/>
        <v>0</v>
      </c>
      <c r="AC33" s="18">
        <f t="shared" si="31"/>
        <v>0</v>
      </c>
      <c r="AD33" s="18">
        <f t="shared" si="13"/>
        <v>45.547110000000004</v>
      </c>
      <c r="AE33" s="18">
        <f t="shared" si="32"/>
        <v>0</v>
      </c>
      <c r="AF33" s="18">
        <f t="shared" si="33"/>
        <v>0</v>
      </c>
      <c r="AG33" s="18">
        <f t="shared" si="14"/>
        <v>108.14441785714286</v>
      </c>
      <c r="AH33" s="18">
        <f t="shared" si="34"/>
        <v>0</v>
      </c>
      <c r="AI33" s="18">
        <f t="shared" si="35"/>
        <v>0</v>
      </c>
      <c r="AJ33" s="18">
        <f t="shared" si="36"/>
        <v>834.11852785714291</v>
      </c>
      <c r="AK33" s="18">
        <v>0</v>
      </c>
      <c r="AL33" s="18">
        <f t="shared" si="16"/>
        <v>26.1</v>
      </c>
      <c r="AM33" s="18">
        <f>PRT!$Y$16+PRT!$Y$22</f>
        <v>3034.7350000000001</v>
      </c>
      <c r="AN33" s="11">
        <f t="shared" si="25"/>
        <v>0.86004214536030321</v>
      </c>
      <c r="AO33" s="18">
        <f>PRT!$Y$16+PRT!$AA$20+PRT!$Y$22+PRT!$AA$26+PRT!$AA$29</f>
        <v>3060.835</v>
      </c>
      <c r="AP33" s="11">
        <f t="shared" si="6"/>
        <v>0.85270849294391893</v>
      </c>
      <c r="AQ33" s="18">
        <f>PRT!$I$4+PRT!$I$16+PRT!$I$22</f>
        <v>7480.9216141339266</v>
      </c>
      <c r="AR33" s="11">
        <f t="shared" si="26"/>
        <v>11.149943427842073</v>
      </c>
      <c r="AS33" s="18">
        <f>PRT!$I$4+PRT!$I$16+PRT!$I$22-AH33+AJ33</f>
        <v>8315.0401419910704</v>
      </c>
      <c r="AT33" s="11">
        <f t="shared" si="8"/>
        <v>10.031443187445753</v>
      </c>
      <c r="AU33" s="18">
        <f>PRT!$I$3</f>
        <v>60992.883943518791</v>
      </c>
      <c r="AV33" s="18">
        <f t="shared" si="27"/>
        <v>1.3675669585152939</v>
      </c>
      <c r="AW33" s="17">
        <f t="shared" si="10"/>
        <v>61827.002471375934</v>
      </c>
      <c r="AX33" s="11">
        <f t="shared" si="11"/>
        <v>1.3491168818079367</v>
      </c>
      <c r="AY33" s="53"/>
    </row>
    <row r="34" spans="1:51" s="19" customFormat="1" x14ac:dyDescent="0.35">
      <c r="A34" s="73" t="s">
        <v>89</v>
      </c>
      <c r="B34" s="52">
        <f>ROU!$G$9</f>
        <v>23.927526857141579</v>
      </c>
      <c r="C34" s="52">
        <f>(ROU!$Q$20+ROU!$Q$26)</f>
        <v>49.046707285714284</v>
      </c>
      <c r="D34" s="60">
        <f>(ROU!$W$20+ROU!$W$26)</f>
        <v>49.046707285714284</v>
      </c>
      <c r="E34" s="52">
        <f>ROU!$B$20</f>
        <v>117.09499999999998</v>
      </c>
      <c r="F34" s="52">
        <f>ROU!$M$20</f>
        <v>192.26999000000001</v>
      </c>
      <c r="G34" s="52">
        <f>ROU!$S$20</f>
        <v>192.26999000000001</v>
      </c>
      <c r="H34" s="52">
        <f>ROU!$F$20</f>
        <v>0</v>
      </c>
      <c r="I34" s="52">
        <f>ROU!$P$20+ROU!$P$21</f>
        <v>10.417197000000002</v>
      </c>
      <c r="J34" s="52">
        <f>ROU!$V$20+ROU!$V$21</f>
        <v>10.417197000000002</v>
      </c>
      <c r="K34" s="52">
        <f>ROU!$Y$20</f>
        <v>6.3869999999999996</v>
      </c>
      <c r="L34" s="60">
        <f>ROU!$AA$20</f>
        <v>6.3869999999999996</v>
      </c>
      <c r="M34" s="52">
        <f>ROU!$B$26</f>
        <v>-4.6163333333333325</v>
      </c>
      <c r="N34" s="52">
        <f>ROU!$M$26</f>
        <v>110.97665333333332</v>
      </c>
      <c r="O34" s="52">
        <f>ROU!$S$26</f>
        <v>110.97665333333332</v>
      </c>
      <c r="P34" s="52">
        <f>ROU!$F$26</f>
        <v>0</v>
      </c>
      <c r="Q34" s="52">
        <f>ROU!$P$26+ROU!$P$27</f>
        <v>9.3770319999999998</v>
      </c>
      <c r="R34" s="52">
        <f>ROU!$V$26+ROU!$V$27</f>
        <v>9.3770319999999998</v>
      </c>
      <c r="S34" s="52">
        <f>ROU!$Y$26</f>
        <v>5.0359999999999996</v>
      </c>
      <c r="T34" s="60">
        <f>ROU!$AA$26</f>
        <v>5.0359999999999996</v>
      </c>
      <c r="U34" s="52">
        <f>ROU!$S$28</f>
        <v>16027.053899999999</v>
      </c>
      <c r="V34" s="52">
        <f>ROU!$V$28</f>
        <v>1072.8351270000001</v>
      </c>
      <c r="W34" s="52">
        <f>ROU!$W$28</f>
        <v>2547.2775389285716</v>
      </c>
      <c r="X34" s="52">
        <f>ROU!$AA$29</f>
        <v>614.77</v>
      </c>
      <c r="Y34" s="63">
        <f t="shared" si="28"/>
        <v>112.47866666666665</v>
      </c>
      <c r="Z34" s="52">
        <f t="shared" si="29"/>
        <v>303.24664333333334</v>
      </c>
      <c r="AA34" s="52">
        <f t="shared" si="12"/>
        <v>16330.300543333333</v>
      </c>
      <c r="AB34" s="52">
        <f t="shared" si="30"/>
        <v>0</v>
      </c>
      <c r="AC34" s="52">
        <f t="shared" si="31"/>
        <v>19.794229000000001</v>
      </c>
      <c r="AD34" s="52">
        <f t="shared" si="13"/>
        <v>1092.6293560000001</v>
      </c>
      <c r="AE34" s="52">
        <f t="shared" si="32"/>
        <v>23.927526857141579</v>
      </c>
      <c r="AF34" s="52">
        <f t="shared" si="33"/>
        <v>49.046707285714284</v>
      </c>
      <c r="AG34" s="52">
        <f t="shared" si="14"/>
        <v>2596.3242462142857</v>
      </c>
      <c r="AH34" s="52">
        <f t="shared" si="34"/>
        <v>136.40619352380824</v>
      </c>
      <c r="AI34" s="52">
        <f t="shared" si="35"/>
        <v>372.08757961904763</v>
      </c>
      <c r="AJ34" s="52">
        <f t="shared" si="36"/>
        <v>20019.254145547617</v>
      </c>
      <c r="AK34" s="52">
        <f>K34+S34</f>
        <v>11.422999999999998</v>
      </c>
      <c r="AL34" s="52">
        <f t="shared" si="16"/>
        <v>626.19299999999998</v>
      </c>
      <c r="AM34" s="52">
        <f>ROU!$Y$16+ROU!$Y$22</f>
        <v>13589.017483867974</v>
      </c>
      <c r="AN34" s="60">
        <f t="shared" si="25"/>
        <v>4.6080814948054698</v>
      </c>
      <c r="AO34" s="52">
        <f>ROU!$Y$16-ROU!$Y$20+ROU!$AA$20+ROU!$Y$22-ROU!$Y$26+ROU!$AA$26+ROU!$AA$29</f>
        <v>14203.787483867975</v>
      </c>
      <c r="AP34" s="60">
        <f t="shared" si="6"/>
        <v>4.4086339697154857</v>
      </c>
      <c r="AQ34" s="52">
        <f>ROU!$I$4+ROU!$I$16+ROU!$I$22</f>
        <v>18044.58018094593</v>
      </c>
      <c r="AR34" s="60">
        <f t="shared" si="26"/>
        <v>110.94330787859965</v>
      </c>
      <c r="AS34" s="52">
        <f>ROU!$I$4+ROU!$I$16+ROU!$I$22-AH34+AJ34</f>
        <v>37927.428132969741</v>
      </c>
      <c r="AT34" s="60">
        <f t="shared" si="8"/>
        <v>52.78305208400139</v>
      </c>
      <c r="AU34" s="52">
        <f>ROU!$I$3</f>
        <v>91656.489415558128</v>
      </c>
      <c r="AV34" s="52">
        <f t="shared" si="27"/>
        <v>21.841611295827647</v>
      </c>
      <c r="AW34" s="63">
        <f t="shared" si="10"/>
        <v>111539.33736758193</v>
      </c>
      <c r="AX34" s="60">
        <f t="shared" si="11"/>
        <v>17.948155886540224</v>
      </c>
      <c r="AY34" s="52"/>
    </row>
    <row r="35" spans="1:51" s="19" customFormat="1" x14ac:dyDescent="0.35">
      <c r="A35" s="79" t="s">
        <v>90</v>
      </c>
      <c r="B35" s="18">
        <f>SVK!$G$9</f>
        <v>0</v>
      </c>
      <c r="C35" s="18">
        <f>(SVK!$Q$20+SVK!$Q$26)</f>
        <v>0</v>
      </c>
      <c r="D35" s="11">
        <f>(SVK!$W$20+SVK!$W$26)</f>
        <v>0</v>
      </c>
      <c r="E35" s="18">
        <f>SVK!$B$20</f>
        <v>0</v>
      </c>
      <c r="F35" s="18">
        <f>SVK!$M$20</f>
        <v>0</v>
      </c>
      <c r="G35" s="18">
        <f>SVK!$S$20</f>
        <v>0</v>
      </c>
      <c r="H35" s="18">
        <f>SVK!$F$20</f>
        <v>0</v>
      </c>
      <c r="I35" s="18">
        <f>SVK!$P$20+SVK!$P$21</f>
        <v>0</v>
      </c>
      <c r="J35" s="18">
        <f>SVK!$V$20+SVK!$V$21</f>
        <v>0</v>
      </c>
      <c r="K35" s="18" t="str">
        <f>SVK!$Y$20</f>
        <v>NO</v>
      </c>
      <c r="L35" s="11">
        <f>SVK!$AA$20</f>
        <v>0</v>
      </c>
      <c r="M35" s="18">
        <f>SVK!$B$26</f>
        <v>0</v>
      </c>
      <c r="N35" s="18">
        <f>SVK!$M$26</f>
        <v>0</v>
      </c>
      <c r="O35" s="18">
        <f>SVK!$S$26</f>
        <v>0</v>
      </c>
      <c r="P35" s="18">
        <f>SVK!$F$26</f>
        <v>0</v>
      </c>
      <c r="Q35" s="18">
        <f>SVK!$P$26+SVK!$P$27</f>
        <v>0</v>
      </c>
      <c r="R35" s="18">
        <f>SVK!$V$26+SVK!$V$27</f>
        <v>0</v>
      </c>
      <c r="S35" s="18" t="str">
        <f>SVK!$Y$26</f>
        <v>NO</v>
      </c>
      <c r="T35" s="11">
        <f>SVK!$AA$26</f>
        <v>0</v>
      </c>
      <c r="U35" s="18">
        <f>SVK!$S$28</f>
        <v>299.80499999999995</v>
      </c>
      <c r="V35" s="18">
        <f>SVK!$V$28</f>
        <v>20.068650000000002</v>
      </c>
      <c r="W35" s="18">
        <f>SVK!$W$28</f>
        <v>47.649839285714279</v>
      </c>
      <c r="X35" s="18">
        <f>SVK!$AA$29</f>
        <v>11.5</v>
      </c>
      <c r="Y35" s="17">
        <f t="shared" si="28"/>
        <v>0</v>
      </c>
      <c r="Z35" s="18">
        <f t="shared" si="29"/>
        <v>0</v>
      </c>
      <c r="AA35" s="18">
        <f t="shared" si="12"/>
        <v>299.80499999999995</v>
      </c>
      <c r="AB35" s="18">
        <f t="shared" si="30"/>
        <v>0</v>
      </c>
      <c r="AC35" s="18">
        <f t="shared" si="31"/>
        <v>0</v>
      </c>
      <c r="AD35" s="18">
        <f t="shared" si="13"/>
        <v>20.068650000000002</v>
      </c>
      <c r="AE35" s="18">
        <f t="shared" si="32"/>
        <v>0</v>
      </c>
      <c r="AF35" s="18">
        <f t="shared" si="33"/>
        <v>0</v>
      </c>
      <c r="AG35" s="18">
        <f t="shared" si="14"/>
        <v>47.649839285714279</v>
      </c>
      <c r="AH35" s="18">
        <f t="shared" si="34"/>
        <v>0</v>
      </c>
      <c r="AI35" s="18">
        <f t="shared" si="35"/>
        <v>0</v>
      </c>
      <c r="AJ35" s="18">
        <f t="shared" si="36"/>
        <v>367.52348928571422</v>
      </c>
      <c r="AK35" s="18">
        <v>0</v>
      </c>
      <c r="AL35" s="18">
        <f t="shared" si="16"/>
        <v>11.5</v>
      </c>
      <c r="AM35" s="18">
        <f>SVK!$Y$16+SVK!$Y$22</f>
        <v>2379.1040000000003</v>
      </c>
      <c r="AN35" s="11">
        <f t="shared" si="25"/>
        <v>0.48337525387708979</v>
      </c>
      <c r="AO35" s="18">
        <f>SVK!$Y$16+SVK!$AA$20+SVK!$Y$22+SVK!$AA$26+SVK!$AA$29</f>
        <v>2390.6040000000003</v>
      </c>
      <c r="AP35" s="11">
        <f t="shared" si="6"/>
        <v>0.48104997732790539</v>
      </c>
      <c r="AQ35" s="18">
        <f>SVK!$I$4+SVK!$I$16+SVK!$I$22</f>
        <v>1490.6440673771135</v>
      </c>
      <c r="AR35" s="11">
        <f t="shared" si="26"/>
        <v>24.655348471778112</v>
      </c>
      <c r="AS35" s="18">
        <f>SVK!$I$4+SVK!$I$16+SVK!$I$22-AH35+AJ35</f>
        <v>1858.1675566628278</v>
      </c>
      <c r="AT35" s="11">
        <f t="shared" si="8"/>
        <v>19.778813162886518</v>
      </c>
      <c r="AU35" s="18">
        <f>SVK!$I$3</f>
        <v>37677.973753612801</v>
      </c>
      <c r="AV35" s="18">
        <f t="shared" si="27"/>
        <v>0.97543326424360532</v>
      </c>
      <c r="AW35" s="17">
        <f t="shared" si="10"/>
        <v>38045.497242898513</v>
      </c>
      <c r="AX35" s="11">
        <f t="shared" si="11"/>
        <v>0.96601047671762352</v>
      </c>
      <c r="AY35" s="53"/>
    </row>
    <row r="36" spans="1:51" s="19" customFormat="1" x14ac:dyDescent="0.35">
      <c r="A36" s="73" t="s">
        <v>91</v>
      </c>
      <c r="B36" s="52">
        <f>SVN!$G$9</f>
        <v>9.3242709999999995</v>
      </c>
      <c r="C36" s="52">
        <f>(SVN!$Q$20+SVN!$Q$26)</f>
        <v>16.616954897321428</v>
      </c>
      <c r="D36" s="60">
        <f>(SVN!$W$20+SVN!$W$26)</f>
        <v>16.616959040785716</v>
      </c>
      <c r="E36" s="52">
        <f>SVN!$B$20</f>
        <v>91.261041666666671</v>
      </c>
      <c r="F36" s="52">
        <f>SVN!$M$20</f>
        <v>74.925315208333345</v>
      </c>
      <c r="G36" s="52">
        <f>SVN!$S$20</f>
        <v>74.925330260000024</v>
      </c>
      <c r="H36" s="52">
        <f>SVN!$F$20</f>
        <v>0</v>
      </c>
      <c r="I36" s="52">
        <f>SVN!$P$20+SVN!$P$21</f>
        <v>4.0594570624999999</v>
      </c>
      <c r="J36" s="52">
        <f>SVN!$V$20+SVN!$V$21</f>
        <v>4.0594578780000008</v>
      </c>
      <c r="K36" s="52">
        <f>SVN!$Y$20</f>
        <v>2.4889375</v>
      </c>
      <c r="L36" s="60">
        <f>SVN!$AA$20</f>
        <v>2.4889380000000001</v>
      </c>
      <c r="M36" s="52">
        <f>SVN!$B$26</f>
        <v>0</v>
      </c>
      <c r="N36" s="52">
        <f>SVN!$M$26</f>
        <v>24.103981458333333</v>
      </c>
      <c r="O36" s="52">
        <f>SVN!$S$26</f>
        <v>24.103992476666662</v>
      </c>
      <c r="P36" s="52">
        <f>SVN!$F$26</f>
        <v>0</v>
      </c>
      <c r="Q36" s="52">
        <f>SVN!$P$26+SVN!$P$27</f>
        <v>2.0366788750000002</v>
      </c>
      <c r="R36" s="52">
        <f>SVN!$V$26+SVN!$V$27</f>
        <v>2.036679806</v>
      </c>
      <c r="S36" s="52">
        <f>SVN!$Y$26</f>
        <v>1.0938125000000001</v>
      </c>
      <c r="T36" s="60">
        <f>SVN!$AA$26</f>
        <v>1.0938129999999999</v>
      </c>
      <c r="U36" s="52">
        <f>SVN!$S$28</f>
        <v>139.21379999999999</v>
      </c>
      <c r="V36" s="52">
        <f>SVN!$V$28</f>
        <v>9.318833999999999</v>
      </c>
      <c r="W36" s="52">
        <f>SVN!$W$28</f>
        <v>22.126099285714286</v>
      </c>
      <c r="X36" s="52">
        <f>SVN!$AA$29</f>
        <v>5.34</v>
      </c>
      <c r="Y36" s="63">
        <f t="shared" si="28"/>
        <v>91.261041666666671</v>
      </c>
      <c r="Z36" s="52">
        <f t="shared" si="29"/>
        <v>99.029296666666681</v>
      </c>
      <c r="AA36" s="52">
        <f t="shared" si="12"/>
        <v>238.24312273666669</v>
      </c>
      <c r="AB36" s="52">
        <f t="shared" si="30"/>
        <v>0</v>
      </c>
      <c r="AC36" s="52">
        <f t="shared" si="31"/>
        <v>6.0961359374999997</v>
      </c>
      <c r="AD36" s="52">
        <f t="shared" si="13"/>
        <v>15.414971683999999</v>
      </c>
      <c r="AE36" s="52">
        <f t="shared" si="32"/>
        <v>9.3242709999999995</v>
      </c>
      <c r="AF36" s="52">
        <f t="shared" si="33"/>
        <v>16.616954897321428</v>
      </c>
      <c r="AG36" s="52">
        <f t="shared" si="14"/>
        <v>38.743058326500005</v>
      </c>
      <c r="AH36" s="52">
        <f t="shared" si="34"/>
        <v>100.58531266666667</v>
      </c>
      <c r="AI36" s="52">
        <f t="shared" si="35"/>
        <v>121.74238750148811</v>
      </c>
      <c r="AJ36" s="52">
        <f t="shared" si="36"/>
        <v>292.40115274716669</v>
      </c>
      <c r="AK36" s="52">
        <f>K36+S36</f>
        <v>3.5827499999999999</v>
      </c>
      <c r="AL36" s="52">
        <f t="shared" si="16"/>
        <v>8.9227509999999999</v>
      </c>
      <c r="AM36" s="52">
        <f>SVN!$Y$16+SVN!$Y$22</f>
        <v>656.42000000000007</v>
      </c>
      <c r="AN36" s="60">
        <f t="shared" si="25"/>
        <v>1.3593051704701258</v>
      </c>
      <c r="AO36" s="52">
        <f>SVN!$Y$16-SVN!$Y$20+SVN!$AA$20+SVN!$Y$22-SVN!$Y$26+SVN!$AA$26+SVN!$AA$29</f>
        <v>661.76000099999999</v>
      </c>
      <c r="AP36" s="60">
        <f t="shared" si="6"/>
        <v>1.348336403910275</v>
      </c>
      <c r="AQ36" s="52">
        <f>SVN!$I$4+SVN!$I$16+SVN!$I$22</f>
        <v>1185.6143094233489</v>
      </c>
      <c r="AR36" s="60">
        <f t="shared" si="26"/>
        <v>24.662417653290873</v>
      </c>
      <c r="AS36" s="52">
        <f>SVN!$I$4+SVN!$I$16+SVN!$I$22-AH36+AJ36</f>
        <v>1377.430149503849</v>
      </c>
      <c r="AT36" s="60">
        <f t="shared" si="8"/>
        <v>21.228020372030461</v>
      </c>
      <c r="AU36" s="52">
        <f>SVN!$I$3</f>
        <v>17745.281429136656</v>
      </c>
      <c r="AV36" s="52">
        <f t="shared" si="27"/>
        <v>1.6477684725082018</v>
      </c>
      <c r="AW36" s="63">
        <f t="shared" si="10"/>
        <v>17937.097269217156</v>
      </c>
      <c r="AX36" s="60">
        <f t="shared" si="11"/>
        <v>1.6301475559759186</v>
      </c>
      <c r="AY36" s="53"/>
    </row>
    <row r="37" spans="1:51" s="19" customFormat="1" x14ac:dyDescent="0.35">
      <c r="A37" s="79" t="s">
        <v>92</v>
      </c>
      <c r="B37" s="18">
        <f>SWE!$G$9</f>
        <v>827.88044114285549</v>
      </c>
      <c r="C37" s="18">
        <f>(SWE!$Q$20+SWE!$Q$26)</f>
        <v>759.04443233142842</v>
      </c>
      <c r="D37" s="11">
        <f>(SWE!$W$20+SWE!$W$26)</f>
        <v>759.04443233142842</v>
      </c>
      <c r="E37" s="18">
        <f>SWE!$B$20</f>
        <v>3067.8487033333331</v>
      </c>
      <c r="F37" s="18">
        <f>SWE!$M$20</f>
        <v>3085.6498532870996</v>
      </c>
      <c r="G37" s="18">
        <f>SWE!$S$20</f>
        <v>3085.6498532870996</v>
      </c>
      <c r="H37" s="18">
        <f>SWE!$F$20</f>
        <v>199.50807500000002</v>
      </c>
      <c r="I37" s="18">
        <f>SWE!$P$20+SWE!$P$21</f>
        <v>223.46788495499999</v>
      </c>
      <c r="J37" s="18">
        <f>SWE!$V$20+SWE!$V$21</f>
        <v>223.46788495499999</v>
      </c>
      <c r="K37" s="18">
        <f>SWE!$Y$20</f>
        <v>137.01280499999999</v>
      </c>
      <c r="L37" s="11">
        <f>SWE!$AA$20</f>
        <v>137.01280499999999</v>
      </c>
      <c r="M37" s="18">
        <f>SWE!$B$26</f>
        <v>169.61065366666668</v>
      </c>
      <c r="N37" s="18">
        <f>SWE!$M$26</f>
        <v>259.80273026399999</v>
      </c>
      <c r="O37" s="18">
        <f>SWE!$S$26</f>
        <v>259.80273026399999</v>
      </c>
      <c r="P37" s="18">
        <f>SWE!$F$26</f>
        <v>7.1141750000000004</v>
      </c>
      <c r="Q37" s="18">
        <f>SWE!$P$26+SWE!$P$27</f>
        <v>56.363221001639999</v>
      </c>
      <c r="R37" s="18">
        <f>SWE!$V$26+SWE!$V$27</f>
        <v>56.363221001639999</v>
      </c>
      <c r="S37" s="18">
        <f>SWE!$Y$26</f>
        <v>27.721162</v>
      </c>
      <c r="T37" s="11">
        <f>SWE!$AA$26</f>
        <v>27.721162</v>
      </c>
      <c r="U37" s="18">
        <f>SWE!$S$28</f>
        <v>0</v>
      </c>
      <c r="V37" s="18">
        <f>SWE!$V$28</f>
        <v>0</v>
      </c>
      <c r="W37" s="18">
        <f>SWE!$W$28</f>
        <v>0</v>
      </c>
      <c r="X37" s="18">
        <f>SWE!$AA$29</f>
        <v>0</v>
      </c>
      <c r="Y37" s="17">
        <f>E37+M37</f>
        <v>3237.4593569999997</v>
      </c>
      <c r="Z37" s="18">
        <f t="shared" si="29"/>
        <v>3345.4525835510995</v>
      </c>
      <c r="AA37" s="18">
        <f t="shared" si="12"/>
        <v>3345.4525835510995</v>
      </c>
      <c r="AB37" s="18">
        <f t="shared" si="30"/>
        <v>206.62225000000001</v>
      </c>
      <c r="AC37" s="18">
        <f t="shared" si="31"/>
        <v>279.83110595663999</v>
      </c>
      <c r="AD37" s="18">
        <f t="shared" si="13"/>
        <v>279.83110595663999</v>
      </c>
      <c r="AE37" s="18">
        <f t="shared" si="32"/>
        <v>827.88044114285549</v>
      </c>
      <c r="AF37" s="18">
        <f t="shared" si="33"/>
        <v>759.04443233142842</v>
      </c>
      <c r="AG37" s="18">
        <f t="shared" si="14"/>
        <v>759.04443233142842</v>
      </c>
      <c r="AH37" s="18">
        <f t="shared" si="34"/>
        <v>4271.9620481428556</v>
      </c>
      <c r="AI37" s="18">
        <f t="shared" si="35"/>
        <v>4384.3281218391676</v>
      </c>
      <c r="AJ37" s="18">
        <f t="shared" si="36"/>
        <v>4384.3281218391676</v>
      </c>
      <c r="AK37" s="18">
        <f>K37+S37</f>
        <v>164.73396699999998</v>
      </c>
      <c r="AL37" s="18">
        <f t="shared" si="16"/>
        <v>164.73396699999998</v>
      </c>
      <c r="AM37" s="18">
        <f>SWE!$Y$16+SWE!$Y$22</f>
        <v>3307.1661010000003</v>
      </c>
      <c r="AN37" s="11">
        <f t="shared" si="25"/>
        <v>4.9811216603299346</v>
      </c>
      <c r="AO37" s="18">
        <f>SWE!$Y$16-SWE!$Y$20+SWE!$AA$20+SWE!$Y$22-SWE!$Y$26+SWE!$AA$26+SWE!$AA$29</f>
        <v>3307.1661010000003</v>
      </c>
      <c r="AP37" s="11">
        <f t="shared" si="6"/>
        <v>4.9811216603299346</v>
      </c>
      <c r="AQ37" s="18">
        <f>SWE!$I$4+SWE!$I$16+SWE!$I$22</f>
        <v>10713.916779809641</v>
      </c>
      <c r="AR37" s="11">
        <f t="shared" si="26"/>
        <v>40.92180490053299</v>
      </c>
      <c r="AS37" s="18">
        <f>SWE!$I$4+SWE!$I$16+SWE!$I$22-AH37+AJ37</f>
        <v>10826.282853505953</v>
      </c>
      <c r="AT37" s="11">
        <f t="shared" si="8"/>
        <v>40.497077170114387</v>
      </c>
      <c r="AU37" s="18">
        <f>SWE!$I$3</f>
        <v>9785.2751621657953</v>
      </c>
      <c r="AV37" s="18">
        <f t="shared" si="27"/>
        <v>44.805363663056923</v>
      </c>
      <c r="AW37" s="17">
        <f t="shared" si="10"/>
        <v>9897.6412358621074</v>
      </c>
      <c r="AX37" s="11">
        <f t="shared" si="11"/>
        <v>44.296696731676214</v>
      </c>
      <c r="AY37" s="53"/>
    </row>
    <row r="38" spans="1:51" s="19" customFormat="1" x14ac:dyDescent="0.35">
      <c r="A38" s="59" t="s">
        <v>94</v>
      </c>
      <c r="B38" s="74">
        <f>SUM(B5:B37)</f>
        <v>13836.519255649824</v>
      </c>
      <c r="C38" s="74">
        <f t="shared" ref="C38:AU38" si="37">SUM(C5:C37)</f>
        <v>14321.070763504738</v>
      </c>
      <c r="D38" s="75">
        <f t="shared" si="37"/>
        <v>16413.916430133049</v>
      </c>
      <c r="E38" s="74">
        <f t="shared" si="37"/>
        <v>34054.506946723457</v>
      </c>
      <c r="F38" s="74">
        <f t="shared" si="37"/>
        <v>41547.237527101242</v>
      </c>
      <c r="G38" s="74">
        <f t="shared" si="37"/>
        <v>48614.419953873767</v>
      </c>
      <c r="H38" s="74">
        <f t="shared" si="37"/>
        <v>663.64231841474998</v>
      </c>
      <c r="I38" s="74">
        <f t="shared" si="37"/>
        <v>2101.1475189482526</v>
      </c>
      <c r="J38" s="74">
        <f t="shared" si="37"/>
        <v>2990.0635963310006</v>
      </c>
      <c r="K38" s="74">
        <f t="shared" si="37"/>
        <v>1476.1538063447285</v>
      </c>
      <c r="L38" s="75">
        <f t="shared" si="37"/>
        <v>1719.521101</v>
      </c>
      <c r="M38" s="74">
        <f t="shared" si="37"/>
        <v>42729.474282901065</v>
      </c>
      <c r="N38" s="74">
        <f t="shared" si="37"/>
        <v>61725.608061898616</v>
      </c>
      <c r="O38" s="74">
        <f t="shared" si="37"/>
        <v>66736.345101489511</v>
      </c>
      <c r="P38" s="74">
        <f t="shared" si="37"/>
        <v>1032.2168533939696</v>
      </c>
      <c r="Q38" s="74">
        <f t="shared" si="37"/>
        <v>4739.8405044451392</v>
      </c>
      <c r="R38" s="74">
        <f t="shared" si="37"/>
        <v>5923.9541922985918</v>
      </c>
      <c r="S38" s="74">
        <f t="shared" si="37"/>
        <v>2965.1558883961261</v>
      </c>
      <c r="T38" s="75">
        <f t="shared" si="37"/>
        <v>3391.88211</v>
      </c>
      <c r="U38" s="74">
        <f>SUM(U5:U37)</f>
        <v>21344.072566666666</v>
      </c>
      <c r="V38" s="74">
        <f>SUM(V5:V37)</f>
        <v>1774.7504109999998</v>
      </c>
      <c r="W38" s="74">
        <f>SUM(W5:W37)</f>
        <v>2978.6400717857146</v>
      </c>
      <c r="X38" s="75">
        <f>SUM(X5:X37)</f>
        <v>989.17</v>
      </c>
      <c r="Y38" s="74">
        <f t="shared" si="37"/>
        <v>76783.981229624522</v>
      </c>
      <c r="Z38" s="74">
        <f t="shared" si="37"/>
        <v>103272.84558899987</v>
      </c>
      <c r="AA38" s="74">
        <f t="shared" si="37"/>
        <v>136694.83762202994</v>
      </c>
      <c r="AB38" s="74">
        <f t="shared" si="37"/>
        <v>1695.8591718087196</v>
      </c>
      <c r="AC38" s="74">
        <f t="shared" si="37"/>
        <v>6707.7820413933914</v>
      </c>
      <c r="AD38" s="74">
        <f t="shared" si="37"/>
        <v>10688.768199629587</v>
      </c>
      <c r="AE38" s="74">
        <f t="shared" si="37"/>
        <v>13836.519255649824</v>
      </c>
      <c r="AF38" s="74">
        <f t="shared" si="37"/>
        <v>14321.070763504738</v>
      </c>
      <c r="AG38" s="74">
        <f t="shared" si="37"/>
        <v>19392.556501918767</v>
      </c>
      <c r="AH38" s="74">
        <f t="shared" si="37"/>
        <v>92316.359657083056</v>
      </c>
      <c r="AI38" s="74">
        <f t="shared" si="37"/>
        <v>124301.69839389803</v>
      </c>
      <c r="AJ38" s="74">
        <f t="shared" si="37"/>
        <v>165875.54232357835</v>
      </c>
      <c r="AK38" s="74">
        <f t="shared" si="37"/>
        <v>4441.3096947408549</v>
      </c>
      <c r="AL38" s="74">
        <f t="shared" si="37"/>
        <v>6100.5732109999999</v>
      </c>
      <c r="AM38" s="74">
        <f t="shared" si="37"/>
        <v>216087.23647334255</v>
      </c>
      <c r="AN38" s="75">
        <f t="shared" si="25"/>
        <v>2.8231992368288688</v>
      </c>
      <c r="AO38" s="74">
        <f>SUM(AO5:AO37)</f>
        <v>226204.36480657681</v>
      </c>
      <c r="AP38" s="75">
        <f t="shared" si="6"/>
        <v>2.6969299271552463</v>
      </c>
      <c r="AQ38" s="74">
        <f t="shared" si="37"/>
        <v>500507.08911873959</v>
      </c>
      <c r="AR38" s="75">
        <f t="shared" si="26"/>
        <v>33.141497079620038</v>
      </c>
      <c r="AS38" s="74">
        <f>SUM(AS5:AS37)</f>
        <v>612401.83818571607</v>
      </c>
      <c r="AT38" s="75">
        <f t="shared" si="8"/>
        <v>27.086062121399969</v>
      </c>
      <c r="AU38" s="74">
        <f t="shared" si="37"/>
        <v>3964991.5844151783</v>
      </c>
      <c r="AV38" s="74">
        <f t="shared" si="27"/>
        <v>4.1835030110926299</v>
      </c>
      <c r="AW38" s="78">
        <f>SUM(AW5:AW37)</f>
        <v>4038550.7670816719</v>
      </c>
      <c r="AX38" s="75">
        <f t="shared" si="11"/>
        <v>4.1073036316798106</v>
      </c>
      <c r="AY38" s="53"/>
    </row>
    <row r="39" spans="1:51" s="19" customFormat="1" x14ac:dyDescent="0.35">
      <c r="A39" s="59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3"/>
      <c r="N39" s="53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</row>
    <row r="40" spans="1:51" s="19" customFormat="1" x14ac:dyDescent="0.35">
      <c r="A40" s="59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3"/>
      <c r="N40" s="53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</row>
    <row r="41" spans="1:51" s="19" customFormat="1" x14ac:dyDescent="0.35">
      <c r="A41" s="54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3"/>
      <c r="N41" s="53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</row>
    <row r="42" spans="1:51" s="19" customFormat="1" x14ac:dyDescent="0.35">
      <c r="A42" s="54"/>
      <c r="B42" s="52"/>
      <c r="C42" s="52"/>
      <c r="D42" s="52"/>
      <c r="E42" s="52"/>
      <c r="F42" s="52"/>
      <c r="G42" s="53"/>
      <c r="H42" s="53"/>
      <c r="I42" s="53"/>
      <c r="J42" s="53"/>
      <c r="K42" s="53"/>
      <c r="L42" s="53"/>
      <c r="M42" s="52"/>
      <c r="N42" s="52"/>
      <c r="O42" s="50"/>
      <c r="P42" s="50"/>
      <c r="Q42" s="50"/>
      <c r="R42" s="50"/>
      <c r="S42" s="52"/>
      <c r="T42" s="52"/>
      <c r="U42" s="52"/>
      <c r="V42" s="52"/>
      <c r="W42" s="52"/>
      <c r="X42" s="52"/>
      <c r="Y42" s="53"/>
      <c r="Z42" s="53"/>
      <c r="AA42" s="53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</row>
    <row r="43" spans="1:51" s="19" customFormat="1" x14ac:dyDescent="0.35">
      <c r="A43" s="54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</row>
    <row r="44" spans="1:51" s="19" customFormat="1" x14ac:dyDescent="0.35">
      <c r="A44" s="54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3"/>
      <c r="N44" s="53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</row>
    <row r="45" spans="1:51" s="19" customFormat="1" x14ac:dyDescent="0.35">
      <c r="A45" s="54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3"/>
      <c r="N45" s="53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</row>
    <row r="46" spans="1:51" s="19" customFormat="1" x14ac:dyDescent="0.35">
      <c r="A46" s="54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0"/>
      <c r="P46" s="50"/>
      <c r="Q46" s="50"/>
      <c r="R46" s="50"/>
      <c r="S46" s="53"/>
      <c r="T46" s="53"/>
      <c r="U46" s="53"/>
      <c r="V46" s="53"/>
      <c r="W46" s="53"/>
      <c r="X46" s="53"/>
      <c r="Y46" s="50"/>
      <c r="Z46" s="50"/>
      <c r="AA46" s="50"/>
      <c r="AB46" s="53"/>
      <c r="AC46" s="53"/>
      <c r="AD46" s="53"/>
      <c r="AE46" s="52"/>
      <c r="AF46" s="52"/>
      <c r="AG46" s="53"/>
      <c r="AH46" s="53"/>
      <c r="AI46" s="53"/>
      <c r="AJ46" s="53"/>
      <c r="AK46" s="52"/>
      <c r="AL46" s="52"/>
      <c r="AM46" s="52"/>
      <c r="AN46" s="53"/>
      <c r="AO46" s="53"/>
      <c r="AP46" s="53"/>
      <c r="AQ46" s="52"/>
      <c r="AR46" s="53"/>
      <c r="AS46" s="53"/>
      <c r="AT46" s="53"/>
      <c r="AU46" s="52"/>
      <c r="AV46" s="53"/>
      <c r="AW46" s="52"/>
      <c r="AX46" s="53"/>
      <c r="AY46" s="53"/>
    </row>
    <row r="47" spans="1:51" s="19" customFormat="1" x14ac:dyDescent="0.35">
      <c r="A47" s="51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3"/>
      <c r="N47" s="53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3"/>
    </row>
    <row r="48" spans="1:51" s="19" customFormat="1" x14ac:dyDescent="0.35">
      <c r="A48" s="54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2"/>
      <c r="AY48" s="53"/>
    </row>
    <row r="49" spans="1:51" s="19" customFormat="1" x14ac:dyDescent="0.35">
      <c r="A49" s="55"/>
      <c r="B49" s="50"/>
      <c r="C49" s="50"/>
      <c r="D49" s="50"/>
      <c r="E49" s="50"/>
      <c r="F49" s="50"/>
      <c r="G49" s="50"/>
      <c r="H49" s="50"/>
      <c r="I49" s="50"/>
      <c r="J49" s="52"/>
      <c r="K49" s="52"/>
      <c r="L49" s="52"/>
      <c r="M49" s="53"/>
      <c r="N49" s="53"/>
      <c r="O49" s="50"/>
      <c r="P49" s="50"/>
      <c r="Q49" s="50"/>
      <c r="R49" s="52"/>
      <c r="S49" s="52"/>
      <c r="T49" s="52"/>
      <c r="U49" s="52"/>
      <c r="V49" s="52"/>
      <c r="W49" s="52"/>
      <c r="X49" s="52"/>
      <c r="Y49" s="53"/>
      <c r="Z49" s="53"/>
      <c r="AA49" s="52"/>
      <c r="AB49" s="52"/>
      <c r="AC49" s="52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</row>
    <row r="50" spans="1:51" s="19" customFormat="1" x14ac:dyDescent="0.35">
      <c r="A50" s="54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3"/>
      <c r="N50" s="53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</row>
    <row r="51" spans="1:51" s="19" customFormat="1" x14ac:dyDescent="0.35">
      <c r="A51" s="54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</row>
    <row r="52" spans="1:51" s="19" customFormat="1" x14ac:dyDescent="0.35">
      <c r="A52" s="54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0"/>
      <c r="P52" s="50"/>
      <c r="Q52" s="50"/>
      <c r="R52" s="50"/>
      <c r="S52" s="53"/>
      <c r="T52" s="53"/>
      <c r="U52" s="53"/>
      <c r="V52" s="53"/>
      <c r="W52" s="53"/>
      <c r="X52" s="53"/>
      <c r="Y52" s="50"/>
      <c r="Z52" s="50"/>
      <c r="AA52" s="50"/>
      <c r="AB52" s="53"/>
      <c r="AC52" s="53"/>
      <c r="AD52" s="53"/>
      <c r="AE52" s="52"/>
      <c r="AF52" s="52"/>
      <c r="AG52" s="53"/>
      <c r="AH52" s="53"/>
      <c r="AI52" s="53"/>
      <c r="AJ52" s="53"/>
      <c r="AK52" s="52"/>
      <c r="AL52" s="52"/>
      <c r="AM52" s="52"/>
      <c r="AN52" s="53"/>
      <c r="AO52" s="53"/>
      <c r="AP52" s="53"/>
      <c r="AQ52" s="52"/>
      <c r="AR52" s="53"/>
      <c r="AS52" s="53"/>
      <c r="AT52" s="53"/>
      <c r="AU52" s="52"/>
      <c r="AV52" s="53"/>
      <c r="AW52" s="52"/>
      <c r="AX52" s="53"/>
      <c r="AY52" s="53"/>
    </row>
    <row r="53" spans="1:51" s="19" customFormat="1" x14ac:dyDescent="0.35">
      <c r="A53" s="51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3"/>
      <c r="N53" s="53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3"/>
    </row>
    <row r="54" spans="1:51" s="19" customFormat="1" x14ac:dyDescent="0.35">
      <c r="A54" s="54"/>
      <c r="B54" s="52"/>
      <c r="C54" s="52"/>
      <c r="D54" s="52"/>
      <c r="E54" s="52"/>
      <c r="F54" s="52"/>
      <c r="G54" s="50"/>
      <c r="H54" s="50"/>
      <c r="I54" s="50"/>
      <c r="J54" s="52"/>
      <c r="K54" s="52"/>
      <c r="L54" s="52"/>
      <c r="M54" s="52"/>
      <c r="N54" s="52"/>
      <c r="O54" s="50"/>
      <c r="P54" s="50"/>
      <c r="Q54" s="50"/>
      <c r="R54" s="52"/>
      <c r="S54" s="52"/>
      <c r="T54" s="52"/>
      <c r="U54" s="52"/>
      <c r="V54" s="52"/>
      <c r="W54" s="52"/>
      <c r="X54" s="52"/>
      <c r="Y54" s="53"/>
      <c r="Z54" s="53"/>
      <c r="AA54" s="52"/>
      <c r="AB54" s="52"/>
      <c r="AC54" s="52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2"/>
      <c r="AY54" s="53"/>
    </row>
    <row r="55" spans="1:51" s="19" customFormat="1" x14ac:dyDescent="0.35">
      <c r="A55" s="55"/>
      <c r="B55" s="50"/>
      <c r="C55" s="50"/>
      <c r="D55" s="50"/>
      <c r="E55" s="50"/>
      <c r="F55" s="50"/>
      <c r="G55" s="50"/>
      <c r="H55" s="50"/>
      <c r="I55" s="50"/>
      <c r="J55" s="52"/>
      <c r="K55" s="52"/>
      <c r="L55" s="52"/>
      <c r="M55" s="53"/>
      <c r="N55" s="53"/>
      <c r="O55" s="50"/>
      <c r="P55" s="50"/>
      <c r="Q55" s="50"/>
      <c r="R55" s="52"/>
      <c r="S55" s="52"/>
      <c r="T55" s="52"/>
      <c r="U55" s="52"/>
      <c r="V55" s="52"/>
      <c r="W55" s="52"/>
      <c r="X55" s="52"/>
      <c r="Y55" s="53"/>
      <c r="Z55" s="53"/>
      <c r="AA55" s="52"/>
      <c r="AB55" s="52"/>
      <c r="AC55" s="52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</row>
    <row r="56" spans="1:51" s="19" customFormat="1" x14ac:dyDescent="0.35">
      <c r="A56" s="54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2"/>
      <c r="T56" s="52"/>
      <c r="U56" s="52"/>
      <c r="V56" s="52"/>
      <c r="W56" s="52"/>
      <c r="X56" s="52"/>
      <c r="Y56" s="53"/>
      <c r="Z56" s="53"/>
      <c r="AA56" s="53"/>
      <c r="AB56" s="52"/>
      <c r="AC56" s="52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</row>
    <row r="57" spans="1:51" s="19" customFormat="1" x14ac:dyDescent="0.35">
      <c r="A57" s="54"/>
      <c r="B57" s="52"/>
      <c r="C57" s="52"/>
      <c r="D57" s="52"/>
      <c r="E57" s="52"/>
      <c r="F57" s="52"/>
      <c r="G57" s="53"/>
      <c r="H57" s="53"/>
      <c r="I57" s="53"/>
      <c r="J57" s="53"/>
      <c r="K57" s="53"/>
      <c r="L57" s="53"/>
      <c r="M57" s="52"/>
      <c r="N57" s="52"/>
      <c r="O57" s="53"/>
      <c r="P57" s="53"/>
      <c r="Q57" s="53"/>
      <c r="R57" s="53"/>
      <c r="S57" s="52"/>
      <c r="T57" s="52"/>
      <c r="U57" s="52"/>
      <c r="V57" s="52"/>
      <c r="W57" s="52"/>
      <c r="X57" s="52"/>
      <c r="Y57" s="53"/>
      <c r="Z57" s="53"/>
      <c r="AA57" s="53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</row>
    <row r="58" spans="1:51" s="19" customFormat="1" x14ac:dyDescent="0.35">
      <c r="A58" s="54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0"/>
      <c r="P58" s="50"/>
      <c r="Q58" s="50"/>
      <c r="R58" s="50"/>
      <c r="S58" s="53"/>
      <c r="T58" s="53"/>
      <c r="U58" s="53"/>
      <c r="V58" s="53"/>
      <c r="W58" s="53"/>
      <c r="X58" s="53"/>
      <c r="Y58" s="50"/>
      <c r="Z58" s="50"/>
      <c r="AA58" s="50"/>
      <c r="AB58" s="53"/>
      <c r="AC58" s="53"/>
      <c r="AD58" s="53"/>
      <c r="AE58" s="52"/>
      <c r="AF58" s="52"/>
      <c r="AG58" s="53"/>
      <c r="AH58" s="53"/>
      <c r="AI58" s="53"/>
      <c r="AJ58" s="53"/>
      <c r="AK58" s="52"/>
      <c r="AL58" s="52"/>
      <c r="AM58" s="52"/>
      <c r="AN58" s="53"/>
      <c r="AO58" s="53"/>
      <c r="AP58" s="53"/>
      <c r="AQ58" s="52"/>
      <c r="AR58" s="53"/>
      <c r="AS58" s="53"/>
      <c r="AT58" s="53"/>
      <c r="AU58" s="52"/>
      <c r="AV58" s="53"/>
      <c r="AW58" s="52"/>
      <c r="AX58" s="53"/>
      <c r="AY58" s="53"/>
    </row>
    <row r="59" spans="1:51" s="19" customFormat="1" x14ac:dyDescent="0.35">
      <c r="A59" s="51"/>
      <c r="B59" s="52"/>
      <c r="C59" s="52"/>
      <c r="D59" s="52"/>
      <c r="E59" s="52"/>
      <c r="F59" s="52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2"/>
      <c r="T59" s="52"/>
      <c r="U59" s="52"/>
      <c r="V59" s="52"/>
      <c r="W59" s="52"/>
      <c r="X59" s="52"/>
      <c r="Y59" s="53"/>
      <c r="Z59" s="53"/>
      <c r="AA59" s="53"/>
      <c r="AB59" s="52"/>
      <c r="AC59" s="52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</row>
    <row r="60" spans="1:51" s="19" customFormat="1" x14ac:dyDescent="0.35">
      <c r="A60" s="51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3"/>
      <c r="N60" s="53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</row>
    <row r="61" spans="1:51" s="19" customFormat="1" x14ac:dyDescent="0.35">
      <c r="A61" s="54"/>
      <c r="B61" s="53"/>
      <c r="C61" s="53"/>
      <c r="D61" s="53"/>
      <c r="E61" s="53"/>
      <c r="F61" s="53"/>
      <c r="G61" s="53"/>
      <c r="H61" s="53"/>
      <c r="I61" s="53"/>
      <c r="J61" s="52"/>
      <c r="K61" s="52"/>
      <c r="L61" s="52"/>
      <c r="M61" s="53"/>
      <c r="N61" s="53"/>
      <c r="O61" s="53"/>
      <c r="P61" s="53"/>
      <c r="Q61" s="53"/>
      <c r="R61" s="52"/>
      <c r="S61" s="52"/>
      <c r="T61" s="52"/>
      <c r="U61" s="52"/>
      <c r="V61" s="52"/>
      <c r="W61" s="52"/>
      <c r="X61" s="52"/>
      <c r="Y61" s="53"/>
      <c r="Z61" s="53"/>
      <c r="AA61" s="52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</row>
    <row r="62" spans="1:51" s="19" customFormat="1" x14ac:dyDescent="0.35">
      <c r="A62" s="51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3"/>
      <c r="N62" s="53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</row>
    <row r="63" spans="1:51" s="19" customFormat="1" x14ac:dyDescent="0.35">
      <c r="A63" s="51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3"/>
      <c r="N63" s="53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</row>
    <row r="64" spans="1:51" s="19" customFormat="1" x14ac:dyDescent="0.35">
      <c r="A64" s="51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  <c r="N64" s="53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</row>
    <row r="65" spans="1:51" s="19" customFormat="1" x14ac:dyDescent="0.35">
      <c r="A65" s="51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3"/>
      <c r="N65" s="53"/>
      <c r="O65" s="52"/>
      <c r="P65" s="52"/>
      <c r="Q65" s="52"/>
      <c r="R65" s="52"/>
      <c r="S65" s="56"/>
      <c r="T65" s="56"/>
      <c r="U65" s="56"/>
      <c r="V65" s="56"/>
      <c r="W65" s="56"/>
      <c r="X65" s="56"/>
      <c r="Y65" s="52"/>
      <c r="Z65" s="52"/>
      <c r="AA65" s="52"/>
      <c r="AB65" s="56"/>
      <c r="AC65" s="56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7"/>
      <c r="AY65" s="52"/>
    </row>
    <row r="66" spans="1:51" s="19" customFormat="1" x14ac:dyDescent="0.35">
      <c r="A66" s="51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3"/>
      <c r="N66" s="53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</row>
    <row r="67" spans="1:51" s="19" customFormat="1" x14ac:dyDescent="0.35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</row>
    <row r="68" spans="1:51" x14ac:dyDescent="0.35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</row>
    <row r="69" spans="1:51" x14ac:dyDescent="0.35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</row>
    <row r="70" spans="1:51" x14ac:dyDescent="0.35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</row>
    <row r="71" spans="1:51" x14ac:dyDescent="0.35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O71" s="50"/>
      <c r="P71" s="50"/>
      <c r="Q71" s="50"/>
      <c r="R71" s="58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</row>
    <row r="72" spans="1:51" x14ac:dyDescent="0.35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</row>
    <row r="73" spans="1:51" x14ac:dyDescent="0.35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</row>
    <row r="74" spans="1:51" x14ac:dyDescent="0.35"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</row>
    <row r="75" spans="1:51" x14ac:dyDescent="0.35"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</row>
    <row r="76" spans="1:51" x14ac:dyDescent="0.35"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</row>
    <row r="77" spans="1:51" x14ac:dyDescent="0.35"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</row>
    <row r="78" spans="1:51" x14ac:dyDescent="0.35"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</row>
    <row r="79" spans="1:51" x14ac:dyDescent="0.35"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</row>
    <row r="80" spans="1:51" x14ac:dyDescent="0.35">
      <c r="B80" s="50"/>
      <c r="C80" s="50"/>
      <c r="D80" s="50"/>
      <c r="E80" s="50"/>
      <c r="F80" s="50"/>
      <c r="G80" s="50"/>
      <c r="H80" s="50"/>
      <c r="I80" s="50"/>
      <c r="J80" s="80"/>
      <c r="K80" s="50"/>
      <c r="L80" s="50"/>
    </row>
    <row r="81" spans="2:12" x14ac:dyDescent="0.35"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</row>
    <row r="82" spans="2:12" x14ac:dyDescent="0.35"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2:12" x14ac:dyDescent="0.35"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spans="2:12" x14ac:dyDescent="0.35"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2:12" x14ac:dyDescent="0.35"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2:12" x14ac:dyDescent="0.35"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</row>
  </sheetData>
  <dataConsolidate link="1"/>
  <mergeCells count="59">
    <mergeCell ref="U1:X1"/>
    <mergeCell ref="AV2:AV4"/>
    <mergeCell ref="AW2:AW4"/>
    <mergeCell ref="AX2:AX4"/>
    <mergeCell ref="AM1:AT1"/>
    <mergeCell ref="AU1:AX1"/>
    <mergeCell ref="AT2:AT4"/>
    <mergeCell ref="AU2:AU4"/>
    <mergeCell ref="Z3:AA3"/>
    <mergeCell ref="AB3:AB4"/>
    <mergeCell ref="AB2:AD2"/>
    <mergeCell ref="AE2:AG2"/>
    <mergeCell ref="AO2:AO4"/>
    <mergeCell ref="AP2:AP4"/>
    <mergeCell ref="AQ2:AQ4"/>
    <mergeCell ref="AR2:AR4"/>
    <mergeCell ref="B3:B4"/>
    <mergeCell ref="E3:E4"/>
    <mergeCell ref="H3:H4"/>
    <mergeCell ref="K3:K4"/>
    <mergeCell ref="M3:M4"/>
    <mergeCell ref="C3:D3"/>
    <mergeCell ref="F3:G3"/>
    <mergeCell ref="I3:J3"/>
    <mergeCell ref="L3:L4"/>
    <mergeCell ref="B1:D1"/>
    <mergeCell ref="B2:D2"/>
    <mergeCell ref="K2:L2"/>
    <mergeCell ref="E1:L1"/>
    <mergeCell ref="M1:T1"/>
    <mergeCell ref="M2:O2"/>
    <mergeCell ref="P2:R2"/>
    <mergeCell ref="S2:T2"/>
    <mergeCell ref="E2:G2"/>
    <mergeCell ref="H2:J2"/>
    <mergeCell ref="Q3:R3"/>
    <mergeCell ref="N3:O3"/>
    <mergeCell ref="P3:P4"/>
    <mergeCell ref="S3:S4"/>
    <mergeCell ref="Y3:Y4"/>
    <mergeCell ref="U2:U4"/>
    <mergeCell ref="V2:V4"/>
    <mergeCell ref="W2:W4"/>
    <mergeCell ref="X2:X4"/>
    <mergeCell ref="T3:T4"/>
    <mergeCell ref="AS2:AS4"/>
    <mergeCell ref="AE3:AE4"/>
    <mergeCell ref="Y1:AL1"/>
    <mergeCell ref="Y2:AA2"/>
    <mergeCell ref="AM2:AM4"/>
    <mergeCell ref="AN2:AN4"/>
    <mergeCell ref="AK2:AL2"/>
    <mergeCell ref="AK3:AK4"/>
    <mergeCell ref="AC3:AD3"/>
    <mergeCell ref="AL3:AL4"/>
    <mergeCell ref="AH2:AJ2"/>
    <mergeCell ref="AH3:AH4"/>
    <mergeCell ref="AI3:AJ3"/>
    <mergeCell ref="AF3:AG3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zoomScale="60" zoomScaleNormal="60" workbookViewId="0">
      <selection activeCell="A30" sqref="A30:AA30"/>
    </sheetView>
  </sheetViews>
  <sheetFormatPr baseColWidth="10" defaultRowHeight="14.5" x14ac:dyDescent="0.35"/>
  <cols>
    <col min="1" max="1" width="47.81640625" customWidth="1"/>
  </cols>
  <sheetData>
    <row r="1" spans="1:27" ht="14.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2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[6]Summary1.As1!$B$7</f>
        <v>726047.55579608993</v>
      </c>
      <c r="C3" s="8">
        <f>[6]Summary1.As1!$C$7</f>
        <v>2144.3151273532339</v>
      </c>
      <c r="D3" s="14">
        <f>[6]Summary1.As1!$D$7</f>
        <v>123.94414038803183</v>
      </c>
      <c r="E3" s="26">
        <v>0</v>
      </c>
      <c r="F3" s="8">
        <f>[6]Summary2!C7</f>
        <v>53607.87818383085</v>
      </c>
      <c r="G3" s="8">
        <f>[6]Summary2!D7</f>
        <v>36935.353835633483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816590.7878155543</v>
      </c>
      <c r="I3" s="9">
        <f>[6]Summary2!$J$7</f>
        <v>831436.94674358377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60040.823565890547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32845.197202828436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818933.57656480896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[6]Summary1.As2!$B$8</f>
        <v>2913.8172917848201</v>
      </c>
      <c r="C4" s="29">
        <f>[6]Summary1.As2!$C$8</f>
        <v>1301.7231491977864</v>
      </c>
      <c r="D4" s="29">
        <f>[6]Summary1.As2!$D$8</f>
        <v>94.322118390526072</v>
      </c>
      <c r="E4" s="30">
        <v>0</v>
      </c>
      <c r="F4" s="29">
        <f>[6]Summary2!$C$28</f>
        <v>32543.078729944657</v>
      </c>
      <c r="G4" s="29">
        <f>[6]Summary2!$D$28</f>
        <v>28107.991280376769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63564.887302106246</v>
      </c>
      <c r="I4" s="32">
        <f>[6]Summary2!$J$28</f>
        <v>63564.887302106246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36448.248177538015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24995.36137348941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64357.426842812245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25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[6]Summary1.As2!$C$9</f>
        <v>1002.7453575692113</v>
      </c>
      <c r="D5" s="21">
        <v>0</v>
      </c>
      <c r="E5" s="26">
        <v>0</v>
      </c>
      <c r="F5" s="8">
        <f>[6]Summary2!$C$29</f>
        <v>25068.63393923028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25068.63393923028</v>
      </c>
      <c r="I5" s="14">
        <f>[6]Summary2!$J$29</f>
        <v>25068.63393923028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28076.870011937914</v>
      </c>
      <c r="K5" s="25">
        <v>0</v>
      </c>
      <c r="L5" s="11">
        <f t="shared" si="0"/>
        <v>28076.870011937914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25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[6]Summary1.As2!$C$10</f>
        <v>245.27233557271992</v>
      </c>
      <c r="D6" s="14">
        <f>[6]Summary1.As2!$D$10</f>
        <v>10.72788674186388</v>
      </c>
      <c r="E6" s="26">
        <v>0</v>
      </c>
      <c r="F6" s="8">
        <f>[6]Summary2!C30</f>
        <v>6131.8083893179983</v>
      </c>
      <c r="G6" s="14">
        <f>[6]Summary2!D30</f>
        <v>3196.9102490754362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9328.718638393435</v>
      </c>
      <c r="I6" s="14">
        <f>[6]Summary2!$J$30</f>
        <v>9328.718638393435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6867.6253960361582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2842.8899865939284</v>
      </c>
      <c r="L6" s="11">
        <f t="shared" si="0"/>
        <v>9710.5153826300866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25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 t="str">
        <f>[6]Table3s2!$C$7</f>
        <v>NO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0</v>
      </c>
      <c r="G7" s="25">
        <v>0</v>
      </c>
      <c r="H7" s="7">
        <f t="shared" si="1"/>
        <v>0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0</v>
      </c>
      <c r="K7" s="25">
        <v>0</v>
      </c>
      <c r="L7" s="11">
        <f t="shared" si="0"/>
        <v>0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25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[6]Summary1.As2!$C$12</f>
        <v>NA</v>
      </c>
      <c r="D8" s="14">
        <f>[6]Summary1.As2!$D$12</f>
        <v>82.70616990932659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[6]Summary2!$D$32</f>
        <v>24646.438632979323</v>
      </c>
      <c r="H8" s="7">
        <f t="shared" si="1"/>
        <v>24646.438632979323</v>
      </c>
      <c r="I8" s="9">
        <f>[6]Summary2!$J$32</f>
        <v>24646.438632979323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21917.135025971547</v>
      </c>
      <c r="L8" s="11">
        <f t="shared" si="0"/>
        <v>21917.135025971547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25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>
        <f>[6]Table3.D!$E$17</f>
        <v>8.9215998136891095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2658.6367444793545</v>
      </c>
      <c r="H9" s="7">
        <f t="shared" si="1"/>
        <v>2658.6367444793545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2364.2239506276142</v>
      </c>
      <c r="L9" s="11">
        <f t="shared" si="0"/>
        <v>2364.2239506276142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8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1218.883</v>
      </c>
      <c r="Z9" s="14">
        <f>[6]Table3.D!$C$17</f>
        <v>1218883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[6]Table3s2!C9</f>
        <v>NO</v>
      </c>
      <c r="D10" s="14" t="str">
        <f>[6]Table3s2!D9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25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 t="str">
        <f>[6]Table3s2!C10</f>
        <v>NO</v>
      </c>
      <c r="D11" s="14" t="str">
        <f>[6]Table3s2!D10</f>
        <v>NO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0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0</v>
      </c>
      <c r="H11" s="7">
        <f t="shared" si="1"/>
        <v>0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0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0</v>
      </c>
      <c r="L11" s="11">
        <f t="shared" si="0"/>
        <v>0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25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>
        <f>[6]Table3s2!B11</f>
        <v>2140.0512009721042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2140.0512009721042</v>
      </c>
      <c r="I12" s="26">
        <v>0</v>
      </c>
      <c r="J12" s="25">
        <v>0</v>
      </c>
      <c r="K12" s="25">
        <v>0</v>
      </c>
      <c r="L12" s="11">
        <f t="shared" si="0"/>
        <v>2140.0512009721042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25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>
        <f>[6]Table3s2!B12</f>
        <v>569.54385688711602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569.54385688711602</v>
      </c>
      <c r="I13" s="26">
        <v>0</v>
      </c>
      <c r="J13" s="25">
        <v>0</v>
      </c>
      <c r="K13" s="25">
        <v>0</v>
      </c>
      <c r="L13" s="11">
        <f t="shared" si="0"/>
        <v>569.54385688711602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25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>
        <f>[6]Table3s2!B13</f>
        <v>204.22223392559999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204.22223392559999</v>
      </c>
      <c r="I14" s="26">
        <v>0</v>
      </c>
      <c r="J14" s="25">
        <v>0</v>
      </c>
      <c r="K14" s="25">
        <v>0</v>
      </c>
      <c r="L14" s="11">
        <f t="shared" si="0"/>
        <v>204.22223392559999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25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[6]Table3s2!B14</f>
        <v>NO,NA</v>
      </c>
      <c r="C15" s="14">
        <f>[6]Table3s2!C14</f>
        <v>53.705456055855102</v>
      </c>
      <c r="D15" s="14">
        <f>[6]Table3s2!D14</f>
        <v>0.88806173933559995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1342.6364013963776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264.64239832200877</v>
      </c>
      <c r="H15" s="7">
        <f t="shared" si="1"/>
        <v>1607.2787997183864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1503.7527695639428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235.336360923934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1739.0891304878769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25">
        <v>0</v>
      </c>
      <c r="Z15" s="25">
        <v>0</v>
      </c>
      <c r="AA15" s="42">
        <v>0</v>
      </c>
    </row>
    <row r="16" spans="1:27" x14ac:dyDescent="0.35">
      <c r="A16" s="28" t="s">
        <v>8</v>
      </c>
      <c r="B16" s="29">
        <f>[6]Table4!$B$11</f>
        <v>15738.531243962098</v>
      </c>
      <c r="C16" s="29">
        <f>[6]Summary1.As2!$C$21</f>
        <v>8.895562</v>
      </c>
      <c r="D16" s="29">
        <f>[6]Summary1.As2!$D$21</f>
        <v>1.72538978330196</v>
      </c>
      <c r="E16" s="30">
        <v>0</v>
      </c>
      <c r="F16" s="29">
        <f>[6]Summary2!$C$41</f>
        <v>222.38905</v>
      </c>
      <c r="G16" s="29">
        <f>[6]Summary2!$D$41</f>
        <v>514.16615542398404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16475.086449386083</v>
      </c>
      <c r="I16" s="32">
        <f>[6]Summary2!$J$41</f>
        <v>16475.086449386083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249.07573600000001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457.2282925750194</v>
      </c>
      <c r="L16" s="11">
        <f t="shared" si="2"/>
        <v>16444.835272537119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14632.84620093285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8.895562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7.6932365975876742</v>
      </c>
      <c r="P16" s="31">
        <f>N16*'GWP CFs'!$B$3</f>
        <v>249.07573600000001</v>
      </c>
      <c r="Q16" s="31">
        <f>O16*'GWP CFs'!$B$4</f>
        <v>2038.7076983607337</v>
      </c>
      <c r="R16" s="33">
        <f>M16+P16+Q16</f>
        <v>16920.629635293586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14632.84620093285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8.895562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7.6932365975876742</v>
      </c>
      <c r="V16" s="31">
        <f>T16*'GWP CFs'!$B$3</f>
        <v>249.07573600000001</v>
      </c>
      <c r="W16" s="31">
        <f>U16*'GWP CFs'!$B$4</f>
        <v>2038.7076983607337</v>
      </c>
      <c r="X16" s="33">
        <f>S16+V16+W16</f>
        <v>16920.629635293586</v>
      </c>
      <c r="Y16" s="29">
        <f>[6]Table4.B!$C$10</f>
        <v>12656.702000000001</v>
      </c>
      <c r="Z16" s="34">
        <v>0</v>
      </c>
      <c r="AA16" s="30">
        <v>0</v>
      </c>
    </row>
    <row r="17" spans="1:27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4471.3773009328506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1.72538978330196</v>
      </c>
      <c r="E17" s="9">
        <f>[6]Table4.B!$P$10</f>
        <v>-1219.4665366180502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514.16615542398404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4985.5434563568342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457.2282925750194</v>
      </c>
      <c r="L17" s="11">
        <f t="shared" si="2"/>
        <v>4928.6055935078703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[6]Table4.B!$D$10</f>
        <v>12314.565000000001</v>
      </c>
      <c r="Z17" s="25">
        <v>0</v>
      </c>
      <c r="AA17" s="26">
        <v>0</v>
      </c>
    </row>
    <row r="18" spans="1:27" x14ac:dyDescent="0.35">
      <c r="A18" s="22" t="s">
        <v>44</v>
      </c>
      <c r="B18" s="12">
        <v>0</v>
      </c>
      <c r="C18" s="21">
        <v>0</v>
      </c>
      <c r="D18" s="48">
        <f>'[6]Table4(III)'!$D$18</f>
        <v>1.72538978330196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514.16615542398404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514.16615542398404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457.2282925750194</v>
      </c>
      <c r="L18" s="11">
        <f t="shared" si="2"/>
        <v>457.2282925750194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'[6]Table4(III)'!$B$18</f>
        <v>1171.1680000000001</v>
      </c>
      <c r="Z18" s="25">
        <v>0</v>
      </c>
      <c r="AA18" s="26">
        <v>0</v>
      </c>
    </row>
    <row r="19" spans="1:27" x14ac:dyDescent="0.35">
      <c r="A19" s="6" t="s">
        <v>45</v>
      </c>
      <c r="B19" s="49" t="str">
        <f>'[6]Table4(II)'!$G$25</f>
        <v>NO</v>
      </c>
      <c r="C19" s="48" t="str">
        <f>'[6]Table4(II)'!$I$25</f>
        <v>NO</v>
      </c>
      <c r="D19" s="48" t="str">
        <f>'[6]Table4(II)'!$H$25</f>
        <v>NO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'[6]Table4(II)'!$C$25</f>
        <v>NO</v>
      </c>
      <c r="Z19" s="25">
        <v>0</v>
      </c>
      <c r="AA19" s="26">
        <v>0</v>
      </c>
    </row>
    <row r="20" spans="1:27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10161.4689</v>
      </c>
      <c r="C20" s="48">
        <f>'[6]Table4(II)'!$I$20</f>
        <v>8.895562</v>
      </c>
      <c r="D20" s="25">
        <v>0</v>
      </c>
      <c r="E20" s="9">
        <f>[6]Table4.B!$Q$10</f>
        <v>-2771.3097000000002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222.38905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10383.85795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249.07573600000001</v>
      </c>
      <c r="K20" s="25">
        <v>0</v>
      </c>
      <c r="L20" s="11">
        <f t="shared" si="2"/>
        <v>10410.544636000001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B$10*44/12</f>
        <v>10161.4689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C$10/1000</f>
        <v>8.895562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E$10*44/28000</f>
        <v>5.9678468142857142</v>
      </c>
      <c r="P20" s="7">
        <f>N20*'GWP CFs'!$B$3</f>
        <v>249.07573600000001</v>
      </c>
      <c r="Q20" s="18">
        <f>O20*'GWP CFs'!$B$4</f>
        <v>1581.4794057857143</v>
      </c>
      <c r="R20" s="11">
        <f>M20+P20+Q20</f>
        <v>11992.024041785715</v>
      </c>
      <c r="S20" s="18">
        <f>AA20*EFs!$B$10*44/12</f>
        <v>10161.4689</v>
      </c>
      <c r="T20" s="18">
        <f>AA20*EFs!$C$10/1000</f>
        <v>8.895562</v>
      </c>
      <c r="U20" s="11">
        <f>AA20*EFs!$E$10*44/28000</f>
        <v>5.9678468142857142</v>
      </c>
      <c r="V20" s="18">
        <f>T20*'GWP CFs'!$B$3</f>
        <v>249.07573600000001</v>
      </c>
      <c r="W20" s="18">
        <f>U20*'GWP CFs'!$B$4</f>
        <v>1581.4794057857143</v>
      </c>
      <c r="X20" s="11">
        <f>S20+V20+W20</f>
        <v>11992.024041785715</v>
      </c>
      <c r="Y20" s="14">
        <f>[6]Table4.B!$E$10</f>
        <v>342.137</v>
      </c>
      <c r="Z20" s="25">
        <v>0</v>
      </c>
      <c r="AA20" s="39">
        <v>342.137</v>
      </c>
    </row>
    <row r="21" spans="1:27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D$10/1000</f>
        <v>0</v>
      </c>
      <c r="O21" s="26">
        <v>0</v>
      </c>
      <c r="P21" s="7">
        <f>N21*'GWP CFs'!$B$3</f>
        <v>0</v>
      </c>
      <c r="Q21" s="25">
        <v>0</v>
      </c>
      <c r="R21" s="11">
        <f>M21+P21+Q21</f>
        <v>0</v>
      </c>
      <c r="S21" s="25">
        <v>0</v>
      </c>
      <c r="T21" s="18">
        <f>AA20*EFs!$D$10/1000</f>
        <v>0</v>
      </c>
      <c r="U21" s="42">
        <v>0</v>
      </c>
      <c r="V21" s="18">
        <f>T21*'GWP CFs'!$B$3</f>
        <v>0</v>
      </c>
      <c r="W21" s="25">
        <v>0</v>
      </c>
      <c r="X21" s="11">
        <f>V21</f>
        <v>0</v>
      </c>
      <c r="Y21" s="25">
        <v>0</v>
      </c>
      <c r="Z21" s="25">
        <v>0</v>
      </c>
      <c r="AA21" s="26">
        <v>0</v>
      </c>
    </row>
    <row r="22" spans="1:27" x14ac:dyDescent="0.35">
      <c r="A22" s="28" t="s">
        <v>7</v>
      </c>
      <c r="B22" s="29">
        <f>[6]Table4!$B$14</f>
        <v>15334.556257821248</v>
      </c>
      <c r="C22" s="29">
        <f>[6]Summary1.As2!$C$22</f>
        <v>20.284042001596578</v>
      </c>
      <c r="D22" s="29">
        <f>[6]Summary1.As2!$D$22</f>
        <v>0.31392140743302999</v>
      </c>
      <c r="E22" s="30">
        <v>0</v>
      </c>
      <c r="F22" s="29">
        <f>[6]Summary2!$C$42</f>
        <v>507.10105003991453</v>
      </c>
      <c r="G22" s="29">
        <f>[6]Summary2!$D$42</f>
        <v>93.548579415042937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15935.205887276206</v>
      </c>
      <c r="I22" s="32">
        <f>[6]Summary2!$J$42</f>
        <v>15935.205887276206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567.95317604470415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83.189172969752946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15985.698606835706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16634.619783859584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20.283968134699997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7.3291270931473136</v>
      </c>
      <c r="P22" s="31">
        <f>N22*'GWP CFs'!$B$3</f>
        <v>567.95110777159994</v>
      </c>
      <c r="Q22" s="31">
        <f>O22*'GWP CFs'!$B$4</f>
        <v>1942.2186796840381</v>
      </c>
      <c r="R22" s="33">
        <f>M22+P22+Q22</f>
        <v>19144.789571315225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16634.619783859584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20.2839681347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7.3291270931473145</v>
      </c>
      <c r="V22" s="31">
        <f>T22*'GWP CFs'!$B$3</f>
        <v>567.95110777160005</v>
      </c>
      <c r="W22" s="31">
        <f>U22*'GWP CFs'!$B$4</f>
        <v>1942.2186796840383</v>
      </c>
      <c r="X22" s="33">
        <f>S22+V22+W22</f>
        <v>19144.789571315225</v>
      </c>
      <c r="Y22" s="29">
        <f>[6]Table4.C!$C$10</f>
        <v>6772</v>
      </c>
      <c r="Z22" s="34">
        <v>0</v>
      </c>
      <c r="AA22" s="30">
        <v>0</v>
      </c>
    </row>
    <row r="23" spans="1:27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-7365.1100461540791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0.31392140743302999</v>
      </c>
      <c r="E23" s="9">
        <f>[6]Table4.C!$P$10</f>
        <v>2008.6663762238397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93.548579415042937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-7271.5614667390364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83.189172969752946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-7281.9208731843264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[6]Table4.C!$D$10</f>
        <v>5801.5170000000007</v>
      </c>
      <c r="Z23" s="25">
        <v>0</v>
      </c>
      <c r="AA23" s="26">
        <v>0</v>
      </c>
    </row>
    <row r="24" spans="1:27" x14ac:dyDescent="0.35">
      <c r="A24" s="22" t="s">
        <v>44</v>
      </c>
      <c r="B24" s="25">
        <v>0</v>
      </c>
      <c r="C24" s="25">
        <v>0</v>
      </c>
      <c r="D24" s="48">
        <f>'[6]Table4(III)'!$D$25</f>
        <v>0.25787609323171001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76.84707578304959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76.84707578304959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68.337164706403158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68.337164706403158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>
        <f>'[6]Table4(III)'!$B$25</f>
        <v>5801.5170000000007</v>
      </c>
      <c r="Z24" s="25">
        <v>0</v>
      </c>
      <c r="AA24" s="26">
        <v>0</v>
      </c>
    </row>
    <row r="25" spans="1:27" x14ac:dyDescent="0.35">
      <c r="A25" s="6" t="s">
        <v>45</v>
      </c>
      <c r="B25" s="49" t="str">
        <f>'[6]Table4(II)'!$G$35</f>
        <v>NO</v>
      </c>
      <c r="C25" s="48" t="str">
        <f>'[6]Table4(II)'!$I$35</f>
        <v>NO</v>
      </c>
      <c r="D25" s="48">
        <f>'[6]Table4(II)'!$H$35</f>
        <v>5.6045314201320001E-2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16.701503631993361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16.701503631993361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14.8520082633498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14.8520082633498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'[6]Table4(II)'!$C$35</f>
        <v>NO,IE</v>
      </c>
      <c r="Z25" s="25">
        <v>0</v>
      </c>
      <c r="AA25" s="26">
        <v>0</v>
      </c>
    </row>
    <row r="26" spans="1:27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23999.730349741923</v>
      </c>
      <c r="C26" s="48">
        <f>'[6]Table4(II)'!$I$30</f>
        <v>20.284042001596578</v>
      </c>
      <c r="D26" s="25">
        <v>0</v>
      </c>
      <c r="E26" s="9">
        <f>[6]Table4.C!$Q$10</f>
        <v>-6545.3810044750699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507.10105003991447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24506.831399781837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567.95317604470415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24567.683525786626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$11*44/12</f>
        <v>23999.729830013661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C$11/1000</f>
        <v>20.283968134699997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$11*44/28000</f>
        <v>7.0152056857142835</v>
      </c>
      <c r="P26" s="7">
        <f>N26*'GWP CFs'!$B$3</f>
        <v>567.95110777159994</v>
      </c>
      <c r="Q26" s="7">
        <f>O26*'GWP CFs'!$B$4</f>
        <v>1859.0295067142852</v>
      </c>
      <c r="R26" s="11">
        <f>M26+P26+Q26</f>
        <v>26426.710444499549</v>
      </c>
      <c r="S26" s="18">
        <f>AA26*EFs!$B$11*44/12</f>
        <v>23999.729830013664</v>
      </c>
      <c r="T26" s="18">
        <f>AA26*EFs!$C$11/1000</f>
        <v>20.2839681347</v>
      </c>
      <c r="U26" s="11">
        <f>AA26*EFs!$E$11*44/28000</f>
        <v>7.0152056857142844</v>
      </c>
      <c r="V26" s="18">
        <f>T26*'GWP CFs'!$B$3</f>
        <v>567.95110777160005</v>
      </c>
      <c r="W26" s="18">
        <f>U26*'GWP CFs'!$B$4</f>
        <v>1859.0295067142854</v>
      </c>
      <c r="X26" s="11">
        <f>S26+V26+W26</f>
        <v>26426.710444499553</v>
      </c>
      <c r="Y26" s="14">
        <f>[6]Table4.C!$E$10</f>
        <v>970.48299999999983</v>
      </c>
      <c r="Z26" s="25">
        <v>0</v>
      </c>
      <c r="AA26" s="39">
        <v>970.48299999999995</v>
      </c>
    </row>
    <row r="27" spans="1:27" x14ac:dyDescent="0.35">
      <c r="A27" s="6" t="s">
        <v>46</v>
      </c>
      <c r="B27" s="25">
        <v>0</v>
      </c>
      <c r="C27" s="23" t="s">
        <v>21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D$11/1000</f>
        <v>0</v>
      </c>
      <c r="O27" s="10">
        <v>0</v>
      </c>
      <c r="P27" s="7">
        <f>N27*'GWP CFs'!$B$3</f>
        <v>0</v>
      </c>
      <c r="Q27" s="21">
        <v>0</v>
      </c>
      <c r="R27" s="11">
        <f>P27</f>
        <v>0</v>
      </c>
      <c r="S27" s="25">
        <v>0</v>
      </c>
      <c r="T27" s="18">
        <f>AA26*EFs!$D$11/1000</f>
        <v>0</v>
      </c>
      <c r="U27" s="26">
        <v>0</v>
      </c>
      <c r="V27" s="18">
        <f>T27*'GWP CFs'!$B$3</f>
        <v>0</v>
      </c>
      <c r="W27" s="25">
        <v>0</v>
      </c>
      <c r="X27" s="11">
        <f>V27</f>
        <v>0</v>
      </c>
      <c r="Y27" s="25">
        <v>0</v>
      </c>
      <c r="Z27" s="25">
        <v>0</v>
      </c>
      <c r="AA27" s="26">
        <v>0</v>
      </c>
    </row>
    <row r="28" spans="1:27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0</v>
      </c>
      <c r="T28" s="31">
        <f>T29+T30</f>
        <v>0</v>
      </c>
      <c r="U28" s="33">
        <f>U29</f>
        <v>0</v>
      </c>
      <c r="V28" s="31">
        <f>V29+V30</f>
        <v>0</v>
      </c>
      <c r="W28" s="31">
        <f>W29</f>
        <v>0</v>
      </c>
      <c r="X28" s="33">
        <f>X29+X30</f>
        <v>0</v>
      </c>
      <c r="Y28" s="34">
        <v>0</v>
      </c>
      <c r="Z28" s="34">
        <v>0</v>
      </c>
      <c r="AA28" s="30">
        <v>0</v>
      </c>
    </row>
    <row r="29" spans="1:27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0</v>
      </c>
      <c r="T29" s="18">
        <f>AA29*0.95*EFs!$C$9/1000</f>
        <v>0</v>
      </c>
      <c r="U29" s="11">
        <f>AA29*EFs!$E$9*44/28000</f>
        <v>0</v>
      </c>
      <c r="V29" s="18">
        <f>T29*'GWP CFs'!$B$3</f>
        <v>0</v>
      </c>
      <c r="W29" s="18">
        <f>U29*'GWP CFs'!$B$4</f>
        <v>0</v>
      </c>
      <c r="X29" s="11">
        <f>S29+V29+W29</f>
        <v>0</v>
      </c>
      <c r="Y29" s="25">
        <v>0</v>
      </c>
      <c r="Z29" s="25">
        <v>0</v>
      </c>
      <c r="AA29" s="39">
        <v>0</v>
      </c>
    </row>
    <row r="30" spans="1:27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0</v>
      </c>
      <c r="U30" s="42">
        <v>0</v>
      </c>
      <c r="V30" s="44">
        <f>T30*'GWP CFs'!$B$3</f>
        <v>0</v>
      </c>
      <c r="W30" s="90">
        <v>0</v>
      </c>
      <c r="X30" s="46">
        <f>V30</f>
        <v>0</v>
      </c>
      <c r="Y30" s="90">
        <v>0</v>
      </c>
      <c r="Z30" s="90">
        <v>0</v>
      </c>
      <c r="AA30" s="42">
        <v>0</v>
      </c>
    </row>
  </sheetData>
  <mergeCells count="9">
    <mergeCell ref="V1:X1"/>
    <mergeCell ref="Y1:AA1"/>
    <mergeCell ref="S1:U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zoomScale="60" zoomScaleNormal="60" workbookViewId="0">
      <selection activeCell="A30" sqref="A30:AA30"/>
    </sheetView>
  </sheetViews>
  <sheetFormatPr baseColWidth="10" defaultRowHeight="14.5" x14ac:dyDescent="0.35"/>
  <cols>
    <col min="1" max="1" width="47.453125" customWidth="1"/>
  </cols>
  <sheetData>
    <row r="1" spans="1:27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2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[7]Summary1.As1!$B$7</f>
        <v>42498.419073433062</v>
      </c>
      <c r="C3" s="8">
        <f>[7]Summary1.As1!$C$7</f>
        <v>306.79062514120596</v>
      </c>
      <c r="D3" s="14">
        <f>[7]Summary1.As1!$D$7</f>
        <v>18.32950233516171</v>
      </c>
      <c r="E3" s="26">
        <v>0</v>
      </c>
      <c r="F3" s="8">
        <f>[7]Summary2!C7</f>
        <v>7669.7656285301491</v>
      </c>
      <c r="G3" s="8">
        <f>[7]Summary2!D7</f>
        <v>5462.1916958781894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55630.376397841399</v>
      </c>
      <c r="I3" s="9">
        <f>[7]Summary2!$J$7</f>
        <v>56289.232139302905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8590.137503953767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4857.3181188178532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55945.874696204686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[7]Summary1.As2!$B$8</f>
        <v>244.18459812235423</v>
      </c>
      <c r="C4" s="29">
        <f>[7]Summary1.As2!$C$8</f>
        <v>240.70915732572374</v>
      </c>
      <c r="D4" s="29">
        <f>[7]Summary1.As2!$D$8</f>
        <v>16.157460286363641</v>
      </c>
      <c r="E4" s="30">
        <v>0</v>
      </c>
      <c r="F4" s="29">
        <f>[7]Summary2!$C$28</f>
        <v>6017.7289331430939</v>
      </c>
      <c r="G4" s="29">
        <f>[7]Summary2!$D$28</f>
        <v>4814.9231653363649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11076.836696601813</v>
      </c>
      <c r="I4" s="32">
        <f>[7]Summary2!$J$28</f>
        <v>11076.836696601813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6739.8564051202648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4281.7269758863649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11265.767979128985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25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[7]Summary1.As2!$C$9</f>
        <v>151.75164043348548</v>
      </c>
      <c r="D5" s="21">
        <v>0</v>
      </c>
      <c r="E5" s="26">
        <v>0</v>
      </c>
      <c r="F5" s="8">
        <f>[7]Summary2!$C$29</f>
        <v>3793.791010837137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3793.791010837137</v>
      </c>
      <c r="I5" s="14">
        <f>[7]Summary2!$J$29</f>
        <v>3793.791010837137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4249.0459321375929</v>
      </c>
      <c r="K5" s="25">
        <v>0</v>
      </c>
      <c r="L5" s="11">
        <f t="shared" si="0"/>
        <v>4249.0459321375929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25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[7]Summary1.As2!$C$10</f>
        <v>88.820584569738259</v>
      </c>
      <c r="D6" s="14">
        <f>[7]Summary1.As2!$D$10</f>
        <v>2.4697121120766199</v>
      </c>
      <c r="E6" s="26">
        <v>0</v>
      </c>
      <c r="F6" s="8">
        <f>[7]Summary2!C30</f>
        <v>2220.5146142434564</v>
      </c>
      <c r="G6" s="14">
        <f>[7]Summary2!D30</f>
        <v>735.97420939883273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2956.4888236422894</v>
      </c>
      <c r="I6" s="14">
        <f>[7]Summary2!$J$30</f>
        <v>2956.4888236422894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2486.9763679526714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654.47370970030431</v>
      </c>
      <c r="L6" s="11">
        <f t="shared" si="0"/>
        <v>3141.4500776529758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25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 t="str">
        <f>[7]Table3s2!$C$7</f>
        <v>NO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0</v>
      </c>
      <c r="G7" s="25">
        <v>0</v>
      </c>
      <c r="H7" s="7">
        <f t="shared" si="1"/>
        <v>0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0</v>
      </c>
      <c r="K7" s="25">
        <v>0</v>
      </c>
      <c r="L7" s="11">
        <f t="shared" si="0"/>
        <v>0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25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[7]Summary1.As2!$C$12</f>
        <v>NE,NO</v>
      </c>
      <c r="D8" s="14">
        <f>[7]Summary1.As2!$D$12</f>
        <v>13.684198077037021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[7]Summary2!$D$32</f>
        <v>4077.891026957032</v>
      </c>
      <c r="H8" s="7">
        <f t="shared" si="1"/>
        <v>4077.891026957032</v>
      </c>
      <c r="I8" s="9">
        <f>[7]Summary2!$J$32</f>
        <v>4077.891026957032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3626.3124904148103</v>
      </c>
      <c r="L8" s="11">
        <f t="shared" si="0"/>
        <v>3626.3124904148103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25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>
        <f>[7]Table3.D!$E$17</f>
        <v>2.1882759689490499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652.10623874681687</v>
      </c>
      <c r="H9" s="7">
        <f t="shared" si="1"/>
        <v>652.10623874681687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579.89313177149825</v>
      </c>
      <c r="L9" s="11">
        <f t="shared" si="0"/>
        <v>579.89313177149825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8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179.020625</v>
      </c>
      <c r="Z9" s="14">
        <f>[7]Table3.D!$C$17</f>
        <v>179020.625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[7]Table3s2!C9</f>
        <v>NO</v>
      </c>
      <c r="D10" s="14" t="str">
        <f>[7]Table3s2!D9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25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>
        <f>[7]Table3s2!C10</f>
        <v>0.13693232250000001</v>
      </c>
      <c r="D11" s="14">
        <f>[7]Table3s2!D10</f>
        <v>3.5500972500000002E-3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3.4233080625000003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1.0579289805000001</v>
      </c>
      <c r="H11" s="7">
        <f t="shared" si="1"/>
        <v>4.4812370430000001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3.8341050300000004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0.94077577125</v>
      </c>
      <c r="L11" s="11">
        <f t="shared" si="0"/>
        <v>4.7748808012500001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25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>
        <f>[7]Table3s2!B11</f>
        <v>239.92026478902091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239.92026478902091</v>
      </c>
      <c r="I12" s="26">
        <v>0</v>
      </c>
      <c r="J12" s="25">
        <v>0</v>
      </c>
      <c r="K12" s="25">
        <v>0</v>
      </c>
      <c r="L12" s="11">
        <f t="shared" si="0"/>
        <v>239.92026478902091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25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>
        <f>[7]Table3s2!B12</f>
        <v>1.39333333333333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1.39333333333333</v>
      </c>
      <c r="I13" s="26">
        <v>0</v>
      </c>
      <c r="J13" s="25">
        <v>0</v>
      </c>
      <c r="K13" s="25">
        <v>0</v>
      </c>
      <c r="L13" s="11">
        <f t="shared" si="0"/>
        <v>1.39333333333333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25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>
        <f>[7]Table3s2!B13</f>
        <v>2.871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2.871</v>
      </c>
      <c r="I14" s="26">
        <v>0</v>
      </c>
      <c r="J14" s="25">
        <v>0</v>
      </c>
      <c r="K14" s="25">
        <v>0</v>
      </c>
      <c r="L14" s="11">
        <f t="shared" si="0"/>
        <v>2.871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25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[7]Table3s2!B14</f>
        <v>NA</v>
      </c>
      <c r="C15" s="14" t="str">
        <f>[7]Table3s2!C14</f>
        <v>NA</v>
      </c>
      <c r="D15" s="14" t="str">
        <f>[7]Table3s2!D14</f>
        <v>NA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25">
        <v>0</v>
      </c>
      <c r="Z15" s="25">
        <v>0</v>
      </c>
      <c r="AA15" s="42">
        <v>0</v>
      </c>
    </row>
    <row r="16" spans="1:27" x14ac:dyDescent="0.35">
      <c r="A16" s="28" t="s">
        <v>8</v>
      </c>
      <c r="B16" s="29">
        <f>[7]Table4!$B$11</f>
        <v>4443.0247510664376</v>
      </c>
      <c r="C16" s="29">
        <f>[7]Summary1.As2!$C$21</f>
        <v>5.6416247365899999</v>
      </c>
      <c r="D16" s="29">
        <f>[7]Summary1.As2!$D$21</f>
        <v>6.6926798064999996E-3</v>
      </c>
      <c r="E16" s="30">
        <v>0</v>
      </c>
      <c r="F16" s="29">
        <f>[7]Summary2!$C$41</f>
        <v>141.04061841475001</v>
      </c>
      <c r="G16" s="29">
        <f>[7]Summary2!$D$41</f>
        <v>1.994418582337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4586.0597880635241</v>
      </c>
      <c r="I16" s="32">
        <f>[7]Summary2!$J$41</f>
        <v>4586.0597880635241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157.96549262451998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1.7735601487224999</v>
      </c>
      <c r="L16" s="11">
        <f t="shared" si="2"/>
        <v>4602.7638038396808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4644.0364313427226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7.4225175188300003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2.6098073461282412</v>
      </c>
      <c r="P16" s="31">
        <f>N16*'GWP CFs'!$B$3</f>
        <v>207.83049052724002</v>
      </c>
      <c r="Q16" s="31">
        <f>O16*'GWP CFs'!$B$4</f>
        <v>691.59894672398389</v>
      </c>
      <c r="R16" s="33">
        <f>M16+P16+Q16</f>
        <v>5543.4658685939467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4644.0363272962995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7.4225173175000005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2.6098072755207857</v>
      </c>
      <c r="V16" s="31">
        <f>T16*'GWP CFs'!$B$3</f>
        <v>207.83048489000001</v>
      </c>
      <c r="W16" s="31">
        <f>U16*'GWP CFs'!$B$4</f>
        <v>691.59892801300816</v>
      </c>
      <c r="X16" s="33">
        <f>S16+V16+W16</f>
        <v>5543.4657401993072</v>
      </c>
      <c r="Y16" s="29">
        <f>[7]Table4.B!$C$10</f>
        <v>2816.94096871998</v>
      </c>
      <c r="Z16" s="34">
        <v>0</v>
      </c>
      <c r="AA16" s="30">
        <v>0</v>
      </c>
    </row>
    <row r="17" spans="1:29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808.11335766296668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6.6926798064999996E-3</v>
      </c>
      <c r="E17" s="9">
        <f>[7]Table4.B!$P$10</f>
        <v>-220.3945520899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1.994418582337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810.10777624530363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1.7735601487224999</v>
      </c>
      <c r="L17" s="11">
        <f t="shared" si="2"/>
        <v>809.88691781168916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[7]Table4.B!$D$10</f>
        <v>2690.0610125623002</v>
      </c>
      <c r="Z17" s="25">
        <v>0</v>
      </c>
      <c r="AA17" s="26">
        <v>0</v>
      </c>
    </row>
    <row r="18" spans="1:29" x14ac:dyDescent="0.35">
      <c r="A18" s="22" t="s">
        <v>44</v>
      </c>
      <c r="B18" s="12">
        <v>0</v>
      </c>
      <c r="C18" s="21">
        <v>0</v>
      </c>
      <c r="D18" s="48">
        <f>'[7]Table4(III)'!$D$14</f>
        <v>6.6926798064999996E-3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1.994418582337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1.994418582337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1.7735601487224999</v>
      </c>
      <c r="L18" s="11">
        <f t="shared" si="2"/>
        <v>1.7735601487224999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'[7]Table4(III)'!$B$14</f>
        <v>36.966488662300002</v>
      </c>
      <c r="Z18" s="25">
        <v>0</v>
      </c>
      <c r="AA18" s="26">
        <v>0</v>
      </c>
    </row>
    <row r="19" spans="1:29" x14ac:dyDescent="0.35">
      <c r="A19" s="6" t="s">
        <v>45</v>
      </c>
      <c r="B19" s="49" t="str">
        <f>'[7]Table4(II)'!$G$32</f>
        <v>NO</v>
      </c>
      <c r="C19" s="48" t="str">
        <f>'[7]Table4(II)'!$I$32</f>
        <v>NO</v>
      </c>
      <c r="D19" s="48" t="str">
        <f>'[7]Table4(II)'!$H$32</f>
        <v>NO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'[7]Table4(II)'!$C$32</f>
        <v>NO</v>
      </c>
      <c r="Z19" s="25">
        <v>0</v>
      </c>
      <c r="AA19" s="26">
        <v>0</v>
      </c>
    </row>
    <row r="20" spans="1:29" x14ac:dyDescent="0.35">
      <c r="A20" s="6" t="s">
        <v>24</v>
      </c>
      <c r="B20" s="49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+'[8]Table4(II)'!$G$25</f>
        <v>3552.5962557829998</v>
      </c>
      <c r="C20" s="48">
        <f>'[7]Table4(II)'!$I$24</f>
        <v>5.6416247365899999</v>
      </c>
      <c r="D20" s="25">
        <v>0</v>
      </c>
      <c r="E20" s="9">
        <f>[7]Table4.B!$Q$10</f>
        <v>-961.37393724000003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141.04061841474999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3693.6368741977499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157.96549262451998</v>
      </c>
      <c r="K20" s="25">
        <v>0</v>
      </c>
      <c r="L20" s="11">
        <f t="shared" si="2"/>
        <v>3710.5617484075196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B$3*44/12</f>
        <v>3835.9230736797558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E$3*44/28000</f>
        <v>2.603114666321741</v>
      </c>
      <c r="P20" s="7">
        <f>N20*'GWP CFs'!$B$3</f>
        <v>0</v>
      </c>
      <c r="Q20" s="18">
        <f>O20*'GWP CFs'!$B$4</f>
        <v>689.8253865752614</v>
      </c>
      <c r="R20" s="11">
        <f>M20+P20+Q20</f>
        <v>4525.7484602550176</v>
      </c>
      <c r="S20" s="18">
        <f>AA20*EFs!$B$3*44/12</f>
        <v>3835.9229696333332</v>
      </c>
      <c r="T20" s="18">
        <f>AA20*0.95*EFs!$C$3/1000</f>
        <v>0</v>
      </c>
      <c r="U20" s="11">
        <f>AA20*EFs!$E$3*44/28000</f>
        <v>2.6031145957142856</v>
      </c>
      <c r="V20" s="18">
        <f>T20*'GWP CFs'!$B$3</f>
        <v>0</v>
      </c>
      <c r="W20" s="18">
        <f>U20*'GWP CFs'!$B$4</f>
        <v>689.82536786428568</v>
      </c>
      <c r="X20" s="11">
        <f>S20+V20+W20</f>
        <v>4525.7483374976191</v>
      </c>
      <c r="Y20" s="14">
        <f>'[8]Table4(II)'!$C$24</f>
        <v>127.425193456309</v>
      </c>
      <c r="Z20" s="25">
        <v>0</v>
      </c>
      <c r="AA20" s="39">
        <v>127.42519</v>
      </c>
    </row>
    <row r="21" spans="1:29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0.05*EFs!$D$3/1000</f>
        <v>7.4225175188300003</v>
      </c>
      <c r="O21" s="26">
        <v>0</v>
      </c>
      <c r="P21" s="7">
        <f>N21*'GWP CFs'!$B$3</f>
        <v>207.83049052724002</v>
      </c>
      <c r="Q21" s="25">
        <v>0</v>
      </c>
      <c r="R21" s="11">
        <f>M21+P21+Q21</f>
        <v>207.83049052724002</v>
      </c>
      <c r="S21" s="25">
        <v>0</v>
      </c>
      <c r="T21" s="18">
        <f>AA20*0.05*EFs!$D$3/1000</f>
        <v>7.4225173175000005</v>
      </c>
      <c r="U21" s="42">
        <v>0</v>
      </c>
      <c r="V21" s="18">
        <f>T21*'GWP CFs'!$B$3</f>
        <v>207.83048489000001</v>
      </c>
      <c r="W21" s="25">
        <v>0</v>
      </c>
      <c r="X21" s="11">
        <f>V21</f>
        <v>207.83048489000001</v>
      </c>
      <c r="Y21" s="25">
        <v>0</v>
      </c>
      <c r="Z21" s="25">
        <v>0</v>
      </c>
      <c r="AA21" s="26">
        <v>0</v>
      </c>
    </row>
    <row r="22" spans="1:29" x14ac:dyDescent="0.35">
      <c r="A22" s="28" t="s">
        <v>7</v>
      </c>
      <c r="B22" s="29">
        <f>[7]Table4!$B$14</f>
        <v>1390.3044837888067</v>
      </c>
      <c r="C22" s="29">
        <f>[7]Summary1.As2!$C$22</f>
        <v>2.9405119325040001</v>
      </c>
      <c r="D22" s="29">
        <f>[7]Summary1.As2!$D$22</f>
        <v>2.6755491708000002E-3</v>
      </c>
      <c r="E22" s="30">
        <v>0</v>
      </c>
      <c r="F22" s="29">
        <f>[7]Summary2!$C$42</f>
        <v>73.512798312599998</v>
      </c>
      <c r="G22" s="29">
        <f>[7]Summary2!$D$42</f>
        <v>0.79731365289839995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1464.6145957543049</v>
      </c>
      <c r="I22" s="32">
        <f>[7]Summary2!$J$42</f>
        <v>1464.6145957543051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82.334334110111996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0.70902053026200007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1473.3478384291807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1134.6919359475087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3.4324067927765003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0.56224431287027132</v>
      </c>
      <c r="P22" s="31">
        <f>N22*'GWP CFs'!$B$3</f>
        <v>96.107390197742006</v>
      </c>
      <c r="Q22" s="31">
        <f>O22*'GWP CFs'!$B$4</f>
        <v>148.99474291062191</v>
      </c>
      <c r="R22" s="33">
        <f>M22+P22+Q22</f>
        <v>1379.7940690558726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1134.6919196183387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3.4324067434999996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0.56224430483571419</v>
      </c>
      <c r="V22" s="31">
        <f>T22*'GWP CFs'!$B$3</f>
        <v>96.10738881799999</v>
      </c>
      <c r="W22" s="31">
        <f>U22*'GWP CFs'!$B$4</f>
        <v>148.99474078146426</v>
      </c>
      <c r="X22" s="33">
        <f>S22+V22+W22</f>
        <v>1379.7940492178029</v>
      </c>
      <c r="Y22" s="29">
        <f>[7]Table4.C!$C$10</f>
        <v>417.01865625014</v>
      </c>
      <c r="Z22" s="34">
        <v>0</v>
      </c>
      <c r="AA22" s="30">
        <v>0</v>
      </c>
    </row>
    <row r="23" spans="1:29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-2.7336934783279001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2.5887262499999998E-3</v>
      </c>
      <c r="E23" s="9">
        <f>[7]Table4.C!$P$10</f>
        <v>0.74555276681670002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0.7714404225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-1.9622530558279001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0.68601245624999996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-2.0476810220779003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[7]Table4.C!$D$10</f>
        <v>358.17791150890002</v>
      </c>
      <c r="Z23" s="25">
        <v>0</v>
      </c>
      <c r="AA23" s="26">
        <v>0</v>
      </c>
    </row>
    <row r="24" spans="1:29" x14ac:dyDescent="0.35">
      <c r="A24" s="22" t="s">
        <v>44</v>
      </c>
      <c r="B24" s="25">
        <v>0</v>
      </c>
      <c r="C24" s="25">
        <v>0</v>
      </c>
      <c r="D24" s="48">
        <f>'[7]Table4(III)'!$D$18</f>
        <v>2.5887262499999998E-3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0.7714404225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0.7714404225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0.68601245624999996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0.68601245624999996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>
        <f>'[7]Table4(III)'!$B$18</f>
        <v>245.41009033189999</v>
      </c>
      <c r="Z24" s="25">
        <v>0</v>
      </c>
      <c r="AA24" s="26">
        <v>0</v>
      </c>
    </row>
    <row r="25" spans="1:29" x14ac:dyDescent="0.35">
      <c r="A25" s="6" t="s">
        <v>45</v>
      </c>
      <c r="B25" s="49" t="str">
        <f>'[7]Table4(II)'!$G$45</f>
        <v>NO,IE</v>
      </c>
      <c r="C25" s="48" t="str">
        <f>'[7]Table4(II)'!$I$45</f>
        <v>NO,IE</v>
      </c>
      <c r="D25" s="48" t="str">
        <f>'[7]Table4(II)'!$H$45</f>
        <v>NO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'[7]Table4(II)'!$C$45</f>
        <v>NO,IE</v>
      </c>
      <c r="Z25" s="25">
        <v>0</v>
      </c>
      <c r="AA25" s="26">
        <v>0</v>
      </c>
    </row>
    <row r="26" spans="1:29" x14ac:dyDescent="0.35">
      <c r="A26" s="6" t="s">
        <v>24</v>
      </c>
      <c r="B26" s="49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+'[8]Table4(II)'!$G$39</f>
        <v>1232.7814489442333</v>
      </c>
      <c r="C26" s="48">
        <f>'[7]Table4(II)'!$I$38</f>
        <v>2.9395610148000002</v>
      </c>
      <c r="D26" s="25">
        <v>0</v>
      </c>
      <c r="E26" s="9">
        <f>[7]Table4.C!$Q$10</f>
        <v>-332.8664166227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73.489025370000007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1306.2704743142333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82.307708414400011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1315.0891573586332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$5*44/12</f>
        <v>1137.4256294258366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$5/1000</f>
        <v>0.83358450681715002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$5*44/28000</f>
        <v>0.55965558662027137</v>
      </c>
      <c r="P26" s="7">
        <f>N26*'GWP CFs'!$B$3</f>
        <v>23.3403661908802</v>
      </c>
      <c r="Q26" s="7">
        <f>O26*'GWP CFs'!$B$4</f>
        <v>148.30873045437193</v>
      </c>
      <c r="R26" s="11">
        <f>M26+P26+Q26</f>
        <v>1309.0747260710887</v>
      </c>
      <c r="S26" s="18">
        <f>AA26*EFs!$B$5*44/12</f>
        <v>1137.4256130966667</v>
      </c>
      <c r="T26" s="18">
        <f>AA26*0.95*EFs!$C$5/1000</f>
        <v>0.83358449484999997</v>
      </c>
      <c r="U26" s="11">
        <f>AA26*EFs!$E$5*44/28000</f>
        <v>0.55965557858571424</v>
      </c>
      <c r="V26" s="18">
        <f>T26*'GWP CFs'!$B$3</f>
        <v>23.340365855799998</v>
      </c>
      <c r="W26" s="18">
        <f>U26*'GWP CFs'!$B$4</f>
        <v>148.30872832521428</v>
      </c>
      <c r="X26" s="11">
        <f>S26+V26+W26</f>
        <v>1309.074707277681</v>
      </c>
      <c r="Y26" s="14">
        <f>'[8]Table4(II)'!$C$38</f>
        <v>51.615139741</v>
      </c>
      <c r="Z26" s="25">
        <v>0</v>
      </c>
      <c r="AA26" s="39">
        <v>51.615138999999999</v>
      </c>
    </row>
    <row r="27" spans="1:29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$5/1000</f>
        <v>2.5988222859593502</v>
      </c>
      <c r="O27" s="10">
        <v>0</v>
      </c>
      <c r="P27" s="7">
        <f>N27*'GWP CFs'!$B$3</f>
        <v>72.767024006861803</v>
      </c>
      <c r="Q27" s="21">
        <v>0</v>
      </c>
      <c r="R27" s="11">
        <f>P27</f>
        <v>72.767024006861803</v>
      </c>
      <c r="S27" s="25">
        <v>0</v>
      </c>
      <c r="T27" s="18">
        <f>AA26*0.05*EFs!$D$5/1000</f>
        <v>2.5988222486499999</v>
      </c>
      <c r="U27" s="26">
        <v>0</v>
      </c>
      <c r="V27" s="18">
        <f>T27*'GWP CFs'!$B$3</f>
        <v>72.767022962200002</v>
      </c>
      <c r="W27" s="25">
        <v>0</v>
      </c>
      <c r="X27" s="11">
        <f>V27</f>
        <v>72.767022962200002</v>
      </c>
      <c r="Y27" s="25">
        <v>0</v>
      </c>
      <c r="Z27" s="25">
        <v>0</v>
      </c>
      <c r="AA27" s="26">
        <v>0</v>
      </c>
    </row>
    <row r="28" spans="1:29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0</v>
      </c>
      <c r="T28" s="31">
        <f>T29+T30</f>
        <v>0</v>
      </c>
      <c r="U28" s="33">
        <f>U29</f>
        <v>0</v>
      </c>
      <c r="V28" s="31">
        <f>V29+V30</f>
        <v>0</v>
      </c>
      <c r="W28" s="31">
        <f>W29</f>
        <v>0</v>
      </c>
      <c r="X28" s="33">
        <f>X29+X30</f>
        <v>0</v>
      </c>
      <c r="Y28" s="34">
        <v>0</v>
      </c>
      <c r="Z28" s="34">
        <v>0</v>
      </c>
      <c r="AA28" s="30">
        <v>0</v>
      </c>
      <c r="AC28" s="82"/>
    </row>
    <row r="29" spans="1:29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0</v>
      </c>
      <c r="T29" s="18">
        <f>AA29*0.95*EFs!$C$9/1000</f>
        <v>0</v>
      </c>
      <c r="U29" s="11">
        <f>AA29*EFs!$E$9*44/28000</f>
        <v>0</v>
      </c>
      <c r="V29" s="18">
        <f>T29*'GWP CFs'!$B$3</f>
        <v>0</v>
      </c>
      <c r="W29" s="18">
        <f>U29*'GWP CFs'!$B$4</f>
        <v>0</v>
      </c>
      <c r="X29" s="11">
        <f>S29+V29+W29</f>
        <v>0</v>
      </c>
      <c r="Y29" s="25">
        <v>0</v>
      </c>
      <c r="Z29" s="25">
        <v>0</v>
      </c>
      <c r="AA29" s="39">
        <v>0</v>
      </c>
    </row>
    <row r="30" spans="1:29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0</v>
      </c>
      <c r="U30" s="42">
        <v>0</v>
      </c>
      <c r="V30" s="44">
        <f>T30*'GWP CFs'!$B$3</f>
        <v>0</v>
      </c>
      <c r="W30" s="90">
        <v>0</v>
      </c>
      <c r="X30" s="46">
        <f>V30</f>
        <v>0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zoomScale="60" zoomScaleNormal="60" workbookViewId="0">
      <selection activeCell="A30" sqref="A30:AA30"/>
    </sheetView>
  </sheetViews>
  <sheetFormatPr baseColWidth="10" defaultRowHeight="14.5" x14ac:dyDescent="0.35"/>
  <cols>
    <col min="1" max="1" width="47.7265625" customWidth="1"/>
  </cols>
  <sheetData>
    <row r="1" spans="1:27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2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[9]Summary1.As1!$B$7</f>
        <v>231104.69756299822</v>
      </c>
      <c r="C3" s="8">
        <f>[9]Summary1.As1!$C$7</f>
        <v>1595.4812792028845</v>
      </c>
      <c r="D3" s="14">
        <f>[9]Summary1.As1!$D$7</f>
        <v>62.75867509110936</v>
      </c>
      <c r="E3" s="26">
        <v>0</v>
      </c>
      <c r="F3" s="8">
        <f>[9]Summary2!C7</f>
        <v>39887.031980072112</v>
      </c>
      <c r="G3" s="8">
        <f>[9]Summary2!D7</f>
        <v>18702.085177150588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289693.81472022092</v>
      </c>
      <c r="I3" s="9">
        <f>[9]Summary2!$J$7</f>
        <v>296158.86266027967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44673.475817680766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16631.048899143982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292409.22227982298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[9]Summary1.As2!$B$8</f>
        <v>498.60966099999996</v>
      </c>
      <c r="C4" s="29">
        <f>[9]Summary1.As2!$C$8</f>
        <v>996.64414276900004</v>
      </c>
      <c r="D4" s="29">
        <f>[9]Summary1.As2!$D$8</f>
        <v>47.748491045000002</v>
      </c>
      <c r="E4" s="30">
        <v>0</v>
      </c>
      <c r="F4" s="29">
        <f>[9]Summary2!$C$28</f>
        <v>24916.103569225001</v>
      </c>
      <c r="G4" s="29">
        <f>[9]Summary2!$D$28</f>
        <v>14229.050331410001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39643.763561635002</v>
      </c>
      <c r="I4" s="32">
        <f>[9]Summary2!$J$28</f>
        <v>39643.763561635002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27906.035997532003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12653.350126925001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41057.995785457002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25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[9]Summary1.As2!$C$9</f>
        <v>706.75608045599995</v>
      </c>
      <c r="D5" s="21">
        <v>0</v>
      </c>
      <c r="E5" s="26">
        <v>0</v>
      </c>
      <c r="F5" s="8">
        <f>[9]Summary2!$C$29</f>
        <v>17668.902011399998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17668.902011399998</v>
      </c>
      <c r="I5" s="14">
        <f>[9]Summary2!$J$29</f>
        <v>17668.902011399998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19789.170252767999</v>
      </c>
      <c r="K5" s="25">
        <v>0</v>
      </c>
      <c r="L5" s="11">
        <f t="shared" si="0"/>
        <v>19789.170252767999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25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[9]Summary1.As2!$C$10</f>
        <v>271.79706680499999</v>
      </c>
      <c r="D6" s="14">
        <f>[9]Summary1.As2!$D$10</f>
        <v>6.3971717650000004</v>
      </c>
      <c r="E6" s="26">
        <v>0</v>
      </c>
      <c r="F6" s="8">
        <f>[9]Summary2!C30</f>
        <v>6794.9266701249999</v>
      </c>
      <c r="G6" s="14">
        <f>[9]Summary2!D30</f>
        <v>1906.35718597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8701.2838560950004</v>
      </c>
      <c r="I6" s="14">
        <f>[9]Summary2!$J$30</f>
        <v>8701.2838560950004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7610.3178705399996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1695.250517725</v>
      </c>
      <c r="L6" s="11">
        <f t="shared" si="0"/>
        <v>9305.5683882649992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25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>
        <f>[9]Table3s2!$C$7</f>
        <v>17.328016293000001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433.20040732500001</v>
      </c>
      <c r="G7" s="25">
        <v>0</v>
      </c>
      <c r="H7" s="7">
        <f t="shared" si="1"/>
        <v>433.20040732500001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485.18445620400001</v>
      </c>
      <c r="K7" s="25">
        <v>0</v>
      </c>
      <c r="L7" s="11">
        <f t="shared" si="0"/>
        <v>485.18445620400001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25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[9]Summary1.As2!$C$12</f>
        <v>IE</v>
      </c>
      <c r="D8" s="14">
        <f>[9]Summary1.As2!$D$12</f>
        <v>41.331538338999998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[9]Summary2!$D$32</f>
        <v>12316.798425022</v>
      </c>
      <c r="H8" s="7">
        <f t="shared" si="1"/>
        <v>12316.798425022</v>
      </c>
      <c r="I8" s="9">
        <f>[9]Summary2!$J$32</f>
        <v>12316.798425022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10952.857659834999</v>
      </c>
      <c r="L8" s="11">
        <f t="shared" si="0"/>
        <v>10952.857659834999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25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 t="str">
        <f>[9]Table3.D!$E$17</f>
        <v>NO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0</v>
      </c>
      <c r="H9" s="7">
        <f t="shared" si="1"/>
        <v>0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0</v>
      </c>
      <c r="L9" s="11">
        <f t="shared" si="0"/>
        <v>0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8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0</v>
      </c>
      <c r="Z9" s="14" t="str">
        <f>[9]Table3.D!$C$17</f>
        <v>NO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[9]Table3s2!C9</f>
        <v>NO</v>
      </c>
      <c r="D10" s="14" t="str">
        <f>[9]Table3s2!D9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25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>
        <f>[9]Table3s2!C10</f>
        <v>0.76297921499999999</v>
      </c>
      <c r="D11" s="14">
        <f>[9]Table3s2!D10</f>
        <v>1.9780941E-2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19.074480375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5.8947204180000004</v>
      </c>
      <c r="H11" s="7">
        <f t="shared" si="1"/>
        <v>24.969200792999999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21.363418020000001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5.241949365</v>
      </c>
      <c r="L11" s="11">
        <f t="shared" si="0"/>
        <v>26.605367385000001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25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>
        <f>[9]Table3s2!B11</f>
        <v>25.767569999999999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25.767569999999999</v>
      </c>
      <c r="I12" s="26">
        <v>0</v>
      </c>
      <c r="J12" s="25">
        <v>0</v>
      </c>
      <c r="K12" s="25">
        <v>0</v>
      </c>
      <c r="L12" s="11">
        <f t="shared" si="0"/>
        <v>25.767569999999999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25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>
        <f>[9]Table3s2!B12</f>
        <v>472.84209099999998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472.84209099999998</v>
      </c>
      <c r="I13" s="26">
        <v>0</v>
      </c>
      <c r="J13" s="25">
        <v>0</v>
      </c>
      <c r="K13" s="25">
        <v>0</v>
      </c>
      <c r="L13" s="11">
        <f t="shared" si="0"/>
        <v>472.84209099999998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25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 t="str">
        <f>[9]Table3s2!B13</f>
        <v>NO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25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[9]Table3s2!B14</f>
        <v>NO</v>
      </c>
      <c r="C15" s="14" t="str">
        <f>[9]Table3s2!C14</f>
        <v>NO</v>
      </c>
      <c r="D15" s="14" t="str">
        <f>[9]Table3s2!D14</f>
        <v>NO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25">
        <v>0</v>
      </c>
      <c r="Z15" s="25">
        <v>0</v>
      </c>
      <c r="AA15" s="42">
        <v>0</v>
      </c>
    </row>
    <row r="16" spans="1:27" x14ac:dyDescent="0.35">
      <c r="A16" s="28" t="s">
        <v>8</v>
      </c>
      <c r="B16" s="29">
        <f>[9]Table4!$B$11</f>
        <v>-3713.6207294507076</v>
      </c>
      <c r="C16" s="29">
        <f>[9]Summary1.As2!$C$21</f>
        <v>0.28518166020000002</v>
      </c>
      <c r="D16" s="29">
        <f>[9]Summary1.As2!$D$21</f>
        <v>0.20662113175534</v>
      </c>
      <c r="E16" s="30">
        <v>0</v>
      </c>
      <c r="F16" s="29">
        <f>[9]Summary2!$C$41</f>
        <v>7.1295415049999997</v>
      </c>
      <c r="G16" s="29">
        <f>[9]Summary2!$D$41</f>
        <v>61.57309726309132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-3644.9180906826164</v>
      </c>
      <c r="I16" s="32">
        <f>[9]Summary2!$J$41</f>
        <v>-3644.9180906826164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7.9850864856000001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54.754599915165102</v>
      </c>
      <c r="L16" s="11">
        <f t="shared" si="2"/>
        <v>-3650.8810430499425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-1438.4476312095794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0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0.18342348721533999</v>
      </c>
      <c r="P16" s="31">
        <f>N16*'GWP CFs'!$B$3</f>
        <v>0</v>
      </c>
      <c r="Q16" s="31">
        <f>O16*'GWP CFs'!$B$4</f>
        <v>48.607224112065097</v>
      </c>
      <c r="R16" s="33">
        <f>M16+P16+Q16</f>
        <v>-1389.8404070975143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-1438.4476312095794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0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0.18342348721533999</v>
      </c>
      <c r="V16" s="31">
        <f>T16*'GWP CFs'!$B$3</f>
        <v>0</v>
      </c>
      <c r="W16" s="31">
        <f>U16*'GWP CFs'!$B$4</f>
        <v>48.607224112065097</v>
      </c>
      <c r="X16" s="33">
        <f>S16+V16+W16</f>
        <v>-1389.8404070975143</v>
      </c>
      <c r="Y16" s="29">
        <f>[9]Table4.B!$C$10</f>
        <v>20015.271359861275</v>
      </c>
      <c r="Z16" s="34">
        <v>0</v>
      </c>
      <c r="AA16" s="30">
        <v>0</v>
      </c>
    </row>
    <row r="17" spans="1:27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-1438.4476312095794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0.18342348721533999</v>
      </c>
      <c r="E17" s="9">
        <f>[9]Table4.B!$P$10</f>
        <v>392.30389942079438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54.660199190171319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-1383.787432019408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48.607224112065097</v>
      </c>
      <c r="L17" s="11">
        <f t="shared" si="2"/>
        <v>-1389.8404070975143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[9]Table4.B!$D$10</f>
        <v>20015.271359861275</v>
      </c>
      <c r="Z17" s="25">
        <v>0</v>
      </c>
      <c r="AA17" s="26">
        <v>0</v>
      </c>
    </row>
    <row r="18" spans="1:27" x14ac:dyDescent="0.35">
      <c r="A18" s="22" t="s">
        <v>44</v>
      </c>
      <c r="B18" s="12">
        <v>0</v>
      </c>
      <c r="C18" s="21">
        <v>0</v>
      </c>
      <c r="D18" s="48">
        <f>'[9]Table4(III)'!$D$13</f>
        <v>0.18342348721533999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54.660199190171319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54.660199190171319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48.607224112065097</v>
      </c>
      <c r="L18" s="11">
        <f t="shared" si="2"/>
        <v>48.607224112065097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'[9]Table4(III)'!$B$13</f>
        <v>200.59998972647116</v>
      </c>
      <c r="Z18" s="25">
        <v>0</v>
      </c>
      <c r="AA18" s="26">
        <v>0</v>
      </c>
    </row>
    <row r="19" spans="1:27" x14ac:dyDescent="0.35">
      <c r="A19" s="6" t="s">
        <v>45</v>
      </c>
      <c r="B19" s="49" t="str">
        <f>'[9]Table4(II)'!$G$22</f>
        <v>NO</v>
      </c>
      <c r="C19" s="48" t="str">
        <f>'[9]Table4(II)'!$I$22</f>
        <v>NO</v>
      </c>
      <c r="D19" s="48" t="str">
        <f>'[9]Table4(II)'!$H$22</f>
        <v>NO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'[9]Table4(II)'!$C$22</f>
        <v>NO</v>
      </c>
      <c r="Z19" s="25">
        <v>0</v>
      </c>
      <c r="AA19" s="26">
        <v>0</v>
      </c>
    </row>
    <row r="20" spans="1:27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0</v>
      </c>
      <c r="C20" s="48" t="str">
        <f>'[9]Table4(II)'!$I$18</f>
        <v>NO</v>
      </c>
      <c r="D20" s="25">
        <v>0</v>
      </c>
      <c r="E20" s="9" t="str">
        <f>[9]Table4.B!$Q$10</f>
        <v>NO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0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0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0</v>
      </c>
      <c r="K20" s="25">
        <v>0</v>
      </c>
      <c r="L20" s="11">
        <f t="shared" si="2"/>
        <v>0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B$3*44/12</f>
        <v>0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E$3*44/28000</f>
        <v>0</v>
      </c>
      <c r="P20" s="7">
        <f>N20*'GWP CFs'!$B$3</f>
        <v>0</v>
      </c>
      <c r="Q20" s="18">
        <f>O20*'GWP CFs'!$B$4</f>
        <v>0</v>
      </c>
      <c r="R20" s="11">
        <f>M20+P20+Q20</f>
        <v>0</v>
      </c>
      <c r="S20" s="18">
        <f>AA20*EFs!$B$3*44/12</f>
        <v>0</v>
      </c>
      <c r="T20" s="18">
        <f>AA20*0.95*EFs!$C$3/1000</f>
        <v>0</v>
      </c>
      <c r="U20" s="11">
        <f>AA20*EFs!$E$3*44/28000</f>
        <v>0</v>
      </c>
      <c r="V20" s="18">
        <f>T20*'GWP CFs'!$B$3</f>
        <v>0</v>
      </c>
      <c r="W20" s="18">
        <f>U20*'GWP CFs'!$B$4</f>
        <v>0</v>
      </c>
      <c r="X20" s="11">
        <f>S20+V20+W20</f>
        <v>0</v>
      </c>
      <c r="Y20" s="14" t="str">
        <f>[9]Table4.B!$E$10</f>
        <v>NO</v>
      </c>
      <c r="Z20" s="25">
        <v>0</v>
      </c>
      <c r="AA20" s="39">
        <v>0</v>
      </c>
    </row>
    <row r="21" spans="1:27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0.05*EFs!$D$3/1000</f>
        <v>0</v>
      </c>
      <c r="O21" s="26">
        <v>0</v>
      </c>
      <c r="P21" s="7">
        <f>N21*'GWP CFs'!$B$3</f>
        <v>0</v>
      </c>
      <c r="Q21" s="25">
        <v>0</v>
      </c>
      <c r="R21" s="11">
        <f>M21+P21+Q21</f>
        <v>0</v>
      </c>
      <c r="S21" s="25">
        <v>0</v>
      </c>
      <c r="T21" s="18">
        <f>AA20*0.05*EFs!$D$3/1000</f>
        <v>0</v>
      </c>
      <c r="U21" s="42">
        <v>0</v>
      </c>
      <c r="V21" s="18">
        <f>T21*'GWP CFs'!$B$3</f>
        <v>0</v>
      </c>
      <c r="W21" s="25">
        <v>0</v>
      </c>
      <c r="X21" s="11">
        <f>V21</f>
        <v>0</v>
      </c>
      <c r="Y21" s="25">
        <v>0</v>
      </c>
      <c r="Z21" s="25">
        <v>0</v>
      </c>
      <c r="AA21" s="26">
        <v>0</v>
      </c>
    </row>
    <row r="22" spans="1:27" x14ac:dyDescent="0.35">
      <c r="A22" s="28" t="s">
        <v>7</v>
      </c>
      <c r="B22" s="29">
        <f>[9]Table4!$B$14</f>
        <v>41.820103913693409</v>
      </c>
      <c r="C22" s="29">
        <f>[9]Summary1.As2!$C$22</f>
        <v>0.25541661345</v>
      </c>
      <c r="D22" s="29">
        <f>[9]Summary1.As2!$D$22</f>
        <v>2.8580267264649999E-2</v>
      </c>
      <c r="E22" s="30">
        <v>0</v>
      </c>
      <c r="F22" s="29">
        <f>[9]Summary2!$C$42</f>
        <v>6.3854153362500004</v>
      </c>
      <c r="G22" s="29">
        <f>[9]Summary2!$D$42</f>
        <v>8.5169196448657001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56.722438894809109</v>
      </c>
      <c r="I22" s="32">
        <f>[9]Summary2!$J$42</f>
        <v>56.722438894809109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7.1516651765999999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7.5737708251322502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56.545539915425657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-257.88208026679109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0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5.2596199496500002E-3</v>
      </c>
      <c r="P22" s="31">
        <f>N22*'GWP CFs'!$B$3</f>
        <v>0</v>
      </c>
      <c r="Q22" s="31">
        <f>O22*'GWP CFs'!$B$4</f>
        <v>1.3937992866572502</v>
      </c>
      <c r="R22" s="33">
        <f>M22+P22+Q22</f>
        <v>-256.48828098013382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28.594586399875539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0.86450000000000005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0.14621676280679285</v>
      </c>
      <c r="V22" s="31">
        <f>T22*'GWP CFs'!$B$3</f>
        <v>24.206000000000003</v>
      </c>
      <c r="W22" s="31">
        <f>U22*'GWP CFs'!$B$4</f>
        <v>38.747442143800107</v>
      </c>
      <c r="X22" s="33">
        <f>S22+V22+W22</f>
        <v>91.548028543675656</v>
      </c>
      <c r="Y22" s="29">
        <f>[9]Table4.C!$C$10</f>
        <v>11904.113257691393</v>
      </c>
      <c r="Z22" s="34">
        <v>0</v>
      </c>
      <c r="AA22" s="30">
        <v>0</v>
      </c>
    </row>
    <row r="23" spans="1:27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-257.88208026679109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5.2596199496500002E-3</v>
      </c>
      <c r="E23" s="9">
        <f>[9]Table4.C!$P$10</f>
        <v>70.33147643639758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1.5673667449957001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-256.3147135217954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1.3937992866572502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-256.48828098013382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[9]Table4.C!$D$10</f>
        <v>11904.113257691393</v>
      </c>
      <c r="Z23" s="25">
        <v>0</v>
      </c>
      <c r="AA23" s="26">
        <v>0</v>
      </c>
    </row>
    <row r="24" spans="1:27" x14ac:dyDescent="0.35">
      <c r="A24" s="22" t="s">
        <v>44</v>
      </c>
      <c r="B24" s="25">
        <v>0</v>
      </c>
      <c r="C24" s="25">
        <v>0</v>
      </c>
      <c r="D24" s="48">
        <f>'[9]Table4(III)'!$D$15</f>
        <v>5.2596199496500002E-3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1.5673667449957001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1.5673667449957001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1.3937992866572502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1.3937992866572502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>
        <f>'[9]Table4(III)'!$B$15</f>
        <v>37.858104480428338</v>
      </c>
      <c r="Z24" s="25">
        <v>0</v>
      </c>
      <c r="AA24" s="26">
        <v>0</v>
      </c>
    </row>
    <row r="25" spans="1:27" x14ac:dyDescent="0.35">
      <c r="A25" s="6" t="s">
        <v>45</v>
      </c>
      <c r="B25" s="49" t="str">
        <f>'[9]Table4(II)'!$G$30</f>
        <v>NO</v>
      </c>
      <c r="C25" s="48" t="str">
        <f>'[9]Table4(II)'!$I$30</f>
        <v>NO</v>
      </c>
      <c r="D25" s="48" t="str">
        <f>'[9]Table4(II)'!$H$30</f>
        <v>NO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'[9]Table4(II)'!$C$30</f>
        <v>NO</v>
      </c>
      <c r="Z25" s="25">
        <v>0</v>
      </c>
      <c r="AA25" s="26">
        <v>0</v>
      </c>
    </row>
    <row r="26" spans="1:27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0</v>
      </c>
      <c r="C26" s="48" t="str">
        <f>'[9]Table4(II)'!$I$26</f>
        <v>NO</v>
      </c>
      <c r="D26" s="25">
        <v>0</v>
      </c>
      <c r="E26" s="9" t="str">
        <f>[9]Table4.C!$Q$10</f>
        <v>NO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0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0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0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0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$5*44/12</f>
        <v>0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$5/1000</f>
        <v>0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$5*44/28000</f>
        <v>0</v>
      </c>
      <c r="P26" s="7">
        <f>N26*'GWP CFs'!$B$3</f>
        <v>0</v>
      </c>
      <c r="Q26" s="7">
        <f>O26*'GWP CFs'!$B$4</f>
        <v>0</v>
      </c>
      <c r="R26" s="11">
        <f>M26+P26+Q26</f>
        <v>0</v>
      </c>
      <c r="S26" s="18">
        <f>AA26*EFs!$B$5*44/12</f>
        <v>286.47666666666663</v>
      </c>
      <c r="T26" s="18">
        <f>AA26*0.95*EFs!$C$5/1000</f>
        <v>0.20995</v>
      </c>
      <c r="U26" s="11">
        <f>AA26*EFs!$E$5*44/28000</f>
        <v>0.14095714285714286</v>
      </c>
      <c r="V26" s="18">
        <f>T26*'GWP CFs'!$B$3</f>
        <v>5.8785999999999996</v>
      </c>
      <c r="W26" s="18">
        <f>U26*'GWP CFs'!$B$4</f>
        <v>37.353642857142859</v>
      </c>
      <c r="X26" s="11">
        <f>S26+V26+W26</f>
        <v>329.7089095238095</v>
      </c>
      <c r="Y26" s="14" t="str">
        <f>'[9]Table4(II)'!$C$30</f>
        <v>NO</v>
      </c>
      <c r="Z26" s="25">
        <v>0</v>
      </c>
      <c r="AA26" s="39">
        <v>13</v>
      </c>
    </row>
    <row r="27" spans="1:27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$5/1000</f>
        <v>0</v>
      </c>
      <c r="O27" s="10">
        <v>0</v>
      </c>
      <c r="P27" s="7">
        <f>N27*'GWP CFs'!$B$3</f>
        <v>0</v>
      </c>
      <c r="Q27" s="21">
        <v>0</v>
      </c>
      <c r="R27" s="11">
        <f>P27</f>
        <v>0</v>
      </c>
      <c r="S27" s="25">
        <v>0</v>
      </c>
      <c r="T27" s="18">
        <f>AA26*0.05*EFs!$D$5/1000</f>
        <v>0.65455000000000008</v>
      </c>
      <c r="U27" s="26">
        <v>0</v>
      </c>
      <c r="V27" s="18">
        <f>T27*'GWP CFs'!$B$3</f>
        <v>18.327400000000001</v>
      </c>
      <c r="W27" s="25">
        <v>0</v>
      </c>
      <c r="X27" s="11">
        <f>V27</f>
        <v>18.327400000000001</v>
      </c>
      <c r="Y27" s="25">
        <v>0</v>
      </c>
      <c r="Z27" s="25">
        <v>0</v>
      </c>
      <c r="AA27" s="26">
        <v>0</v>
      </c>
    </row>
    <row r="28" spans="1:27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0</v>
      </c>
      <c r="T28" s="31">
        <f>T29+T30</f>
        <v>0</v>
      </c>
      <c r="U28" s="33">
        <f>U29</f>
        <v>0</v>
      </c>
      <c r="V28" s="31">
        <f>V29+V30</f>
        <v>0</v>
      </c>
      <c r="W28" s="31">
        <f>W29</f>
        <v>0</v>
      </c>
      <c r="X28" s="33">
        <f>X29+X30</f>
        <v>0</v>
      </c>
      <c r="Y28" s="34">
        <v>0</v>
      </c>
      <c r="Z28" s="34">
        <v>0</v>
      </c>
      <c r="AA28" s="30">
        <v>0</v>
      </c>
    </row>
    <row r="29" spans="1:27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0</v>
      </c>
      <c r="T29" s="18">
        <f>AA29*0.95*EFs!$C$9/1000</f>
        <v>0</v>
      </c>
      <c r="U29" s="11">
        <f>AA29*EFs!$E$9*44/28000</f>
        <v>0</v>
      </c>
      <c r="V29" s="18">
        <f>T29*'GWP CFs'!$B$3</f>
        <v>0</v>
      </c>
      <c r="W29" s="18">
        <f>U29*'GWP CFs'!$B$4</f>
        <v>0</v>
      </c>
      <c r="X29" s="11">
        <f>S29+V29+W29</f>
        <v>0</v>
      </c>
      <c r="Y29" s="25">
        <v>0</v>
      </c>
      <c r="Z29" s="25">
        <v>0</v>
      </c>
      <c r="AA29" s="39">
        <v>0</v>
      </c>
    </row>
    <row r="30" spans="1:27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0</v>
      </c>
      <c r="U30" s="42">
        <v>0</v>
      </c>
      <c r="V30" s="44">
        <f>T30*'GWP CFs'!$B$3</f>
        <v>0</v>
      </c>
      <c r="W30" s="90">
        <v>0</v>
      </c>
      <c r="X30" s="46">
        <f>V30</f>
        <v>0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0"/>
  <sheetViews>
    <sheetView tabSelected="1" zoomScale="60" zoomScaleNormal="60" workbookViewId="0">
      <selection activeCell="L16" sqref="L16"/>
    </sheetView>
  </sheetViews>
  <sheetFormatPr baseColWidth="10" defaultRowHeight="14.5" x14ac:dyDescent="0.35"/>
  <cols>
    <col min="1" max="1" width="47.7265625" customWidth="1"/>
  </cols>
  <sheetData>
    <row r="1" spans="1:27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2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[10]Summary1.As1!$B$7</f>
        <v>15368.832557149221</v>
      </c>
      <c r="C3" s="8">
        <f>[10]Summary1.As1!$C$7</f>
        <v>47.3681941652398</v>
      </c>
      <c r="D3" s="14">
        <f>[10]Summary1.As1!$D$7</f>
        <v>4.0179026940669598</v>
      </c>
      <c r="E3" s="26">
        <v>0</v>
      </c>
      <c r="F3" s="8">
        <f>[10]Summary2!C7</f>
        <v>1184.204854130995</v>
      </c>
      <c r="G3" s="8">
        <f>[10]Summary2!D7</f>
        <v>1197.3350028319542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17750.372414112171</v>
      </c>
      <c r="I3" s="9">
        <f>[10]Summary2!$J$7</f>
        <v>17983.963586755508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1326.3094366267144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1064.7442139277443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17759.886207703679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[10]Summary1.As2!$B$8</f>
        <v>19.406418683371641</v>
      </c>
      <c r="C4" s="29">
        <f>[10]Summary1.As2!$C$8</f>
        <v>26.999005143700948</v>
      </c>
      <c r="D4" s="29">
        <f>[10]Summary1.As2!$D$8</f>
        <v>2.4946531918266399</v>
      </c>
      <c r="E4" s="30">
        <v>0</v>
      </c>
      <c r="F4" s="29">
        <f>[10]Summary2!$C$28</f>
        <v>674.97512859252379</v>
      </c>
      <c r="G4" s="29">
        <f>[10]Summary2!$D$28</f>
        <v>743.40665116433877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1437.7881984402343</v>
      </c>
      <c r="I4" s="32">
        <f>[10]Summary2!$J$28</f>
        <v>1437.7881984402341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755.97214402362658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661.08309583405958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1436.4616585410577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25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[10]Summary1.As2!$C$9</f>
        <v>21.588031187081189</v>
      </c>
      <c r="D5" s="21">
        <v>0</v>
      </c>
      <c r="E5" s="26">
        <v>0</v>
      </c>
      <c r="F5" s="8">
        <f>[10]Summary2!$C$29</f>
        <v>539.7007796770298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539.7007796770298</v>
      </c>
      <c r="I5" s="14">
        <f>[10]Summary2!$J$29</f>
        <v>539.7007796770298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604.4648732382733</v>
      </c>
      <c r="K5" s="25">
        <v>0</v>
      </c>
      <c r="L5" s="11">
        <f t="shared" si="0"/>
        <v>604.4648732382733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25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[10]Summary1.As2!$C$10</f>
        <v>5.4109739566197597</v>
      </c>
      <c r="D6" s="14">
        <f>[10]Summary1.As2!$D$10</f>
        <v>0.21459671201318001</v>
      </c>
      <c r="E6" s="26">
        <v>0</v>
      </c>
      <c r="F6" s="8">
        <f>[10]Summary2!C30</f>
        <v>135.27434891549399</v>
      </c>
      <c r="G6" s="14">
        <f>[10]Summary2!D30</f>
        <v>63.949820179927642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199.22416909542164</v>
      </c>
      <c r="I6" s="14">
        <f>[10]Summary2!$J$30</f>
        <v>199.22416909542164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151.50727078535328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56.868128683492699</v>
      </c>
      <c r="L6" s="11">
        <f t="shared" si="0"/>
        <v>208.37539946884598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25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 t="str">
        <f>[10]Table3s2!$C$7</f>
        <v>NO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0</v>
      </c>
      <c r="G7" s="25">
        <v>0</v>
      </c>
      <c r="H7" s="7">
        <f t="shared" si="1"/>
        <v>0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0</v>
      </c>
      <c r="K7" s="25">
        <v>0</v>
      </c>
      <c r="L7" s="11">
        <f t="shared" si="0"/>
        <v>0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25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[10]Summary1.As2!$C$12</f>
        <v>NO</v>
      </c>
      <c r="D8" s="14">
        <f>[10]Summary1.As2!$D$12</f>
        <v>2.2800564798134602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[10]Summary2!$D$32</f>
        <v>679.45683098441111</v>
      </c>
      <c r="H8" s="7">
        <f t="shared" si="1"/>
        <v>679.45683098441111</v>
      </c>
      <c r="I8" s="9">
        <f>[10]Summary2!$J$32</f>
        <v>679.45683098441111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604.21496715056696</v>
      </c>
      <c r="L8" s="11">
        <f t="shared" si="0"/>
        <v>604.21496715056696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25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>
        <f>[10]Table3.D!$E$17</f>
        <v>0.49142971428570997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146.44605485714158</v>
      </c>
      <c r="H9" s="7">
        <f t="shared" si="1"/>
        <v>146.44605485714158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130.22887428571315</v>
      </c>
      <c r="L9" s="11">
        <f t="shared" si="0"/>
        <v>130.22887428571315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8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39.091000000000001</v>
      </c>
      <c r="Z9" s="14">
        <f>[10]Table3.D!$C$17</f>
        <v>39091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[10]Table3s2!C9</f>
        <v>NO</v>
      </c>
      <c r="D10" s="14" t="str">
        <f>[10]Table3s2!D9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25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 t="str">
        <f>[10]Table3s2!C10</f>
        <v>NO</v>
      </c>
      <c r="D11" s="14" t="str">
        <f>[10]Table3s2!D10</f>
        <v>NO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0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0</v>
      </c>
      <c r="H11" s="7">
        <f t="shared" si="1"/>
        <v>0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0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0</v>
      </c>
      <c r="L11" s="11">
        <f t="shared" si="0"/>
        <v>0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25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>
        <f>[10]Table3s2!B11</f>
        <v>19.273540000000001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19.273540000000001</v>
      </c>
      <c r="I12" s="26">
        <v>0</v>
      </c>
      <c r="J12" s="25">
        <v>0</v>
      </c>
      <c r="K12" s="25">
        <v>0</v>
      </c>
      <c r="L12" s="11">
        <f t="shared" si="0"/>
        <v>19.273540000000001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25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>
        <f>[10]Table3s2!B12</f>
        <v>0.13287868337163999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0.13287868337163999</v>
      </c>
      <c r="I13" s="26">
        <v>0</v>
      </c>
      <c r="J13" s="25">
        <v>0</v>
      </c>
      <c r="K13" s="25">
        <v>0</v>
      </c>
      <c r="L13" s="11">
        <f t="shared" si="0"/>
        <v>0.13287868337163999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25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 t="str">
        <f>[10]Table3s2!B13</f>
        <v>NO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25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[10]Table3s2!B14</f>
        <v>NO</v>
      </c>
      <c r="C15" s="14" t="str">
        <f>[10]Table3s2!C14</f>
        <v>NO</v>
      </c>
      <c r="D15" s="14" t="str">
        <f>[10]Table3s2!D14</f>
        <v>NO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25">
        <v>0</v>
      </c>
      <c r="Z15" s="25">
        <v>0</v>
      </c>
      <c r="AA15" s="42">
        <v>0</v>
      </c>
    </row>
    <row r="16" spans="1:27" x14ac:dyDescent="0.35">
      <c r="A16" s="28" t="s">
        <v>8</v>
      </c>
      <c r="B16" s="29">
        <f>[10]Table4!$B$11</f>
        <v>305.30161910623701</v>
      </c>
      <c r="C16" s="29" t="str">
        <f>[10]Summary1.As2!$C$21</f>
        <v>NO,NA</v>
      </c>
      <c r="D16" s="29">
        <f>[10]Summary1.As2!$D$21</f>
        <v>7.0257073632799998E-3</v>
      </c>
      <c r="E16" s="30">
        <v>0</v>
      </c>
      <c r="F16" s="29" t="str">
        <f>[10]Summary2!$C$41</f>
        <v>NO,NA</v>
      </c>
      <c r="G16" s="29">
        <f>[10]Summary2!$D$41</f>
        <v>2.0936607942574401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307.39527990049447</v>
      </c>
      <c r="I16" s="32">
        <f>[10]Summary2!$J$41</f>
        <v>307.39527990049447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0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1.8618124512692</v>
      </c>
      <c r="L16" s="11">
        <f t="shared" si="2"/>
        <v>307.16343155750621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501.72520066951893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1.6539504999999999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0.58707456450613715</v>
      </c>
      <c r="P16" s="31">
        <f>N16*'GWP CFs'!$B$3</f>
        <v>46.310613999999994</v>
      </c>
      <c r="Q16" s="31">
        <f>O16*'GWP CFs'!$B$4</f>
        <v>155.57475959412633</v>
      </c>
      <c r="R16" s="33">
        <f>M16+P16+Q16</f>
        <v>703.61057426364528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501.6047873361855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1.6537175000000002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0.58699285022042291</v>
      </c>
      <c r="V16" s="31">
        <f>T16*'GWP CFs'!$B$3</f>
        <v>46.304090000000002</v>
      </c>
      <c r="W16" s="31">
        <f>U16*'GWP CFs'!$B$4</f>
        <v>155.55310530841209</v>
      </c>
      <c r="X16" s="33">
        <f>S16+V16+W16</f>
        <v>703.46198264459758</v>
      </c>
      <c r="Y16" s="29">
        <f>[10]Table4.B!$C$10</f>
        <v>1003.2609999999999</v>
      </c>
      <c r="Z16" s="34">
        <v>0</v>
      </c>
      <c r="AA16" s="30">
        <v>0</v>
      </c>
    </row>
    <row r="17" spans="1:30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-353.02884599714787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7.0257073632799998E-3</v>
      </c>
      <c r="E17" s="9">
        <f>[10]Table4.B!$P$10</f>
        <v>96.280594362858508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2.0936607942574401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-350.93518520289041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1.8618124512692</v>
      </c>
      <c r="L17" s="11">
        <f t="shared" si="2"/>
        <v>-351.16703354587867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[10]Table4.B!$D$10</f>
        <v>974.86699999999996</v>
      </c>
      <c r="Z17" s="25">
        <v>0</v>
      </c>
      <c r="AA17" s="26">
        <v>0</v>
      </c>
    </row>
    <row r="18" spans="1:30" x14ac:dyDescent="0.35">
      <c r="A18" s="22" t="s">
        <v>44</v>
      </c>
      <c r="B18" s="12">
        <v>0</v>
      </c>
      <c r="C18" s="21">
        <v>0</v>
      </c>
      <c r="D18" s="48">
        <f>'[10]Table4(III)'!$D$13</f>
        <v>7.0257073632799998E-3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2.0936607942574401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2.0936607942574401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1.8618124512692</v>
      </c>
      <c r="L18" s="11">
        <f t="shared" si="2"/>
        <v>1.8618124512692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'[10]Table4(III)'!$B$13</f>
        <v>15.170999999999999</v>
      </c>
      <c r="Z18" s="25">
        <v>0</v>
      </c>
      <c r="AA18" s="26">
        <v>0</v>
      </c>
    </row>
    <row r="19" spans="1:30" x14ac:dyDescent="0.35">
      <c r="A19" s="6" t="s">
        <v>45</v>
      </c>
      <c r="B19" s="49" t="str">
        <f>'[10]Table4(II)'!$G$22</f>
        <v>NA</v>
      </c>
      <c r="C19" s="48" t="str">
        <f>'[10]Table4(II)'!$I$22</f>
        <v>NA</v>
      </c>
      <c r="D19" s="48" t="str">
        <f>'[10]Table4(II)'!$H$22</f>
        <v>NA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'[10]Table4(II)'!$C$22</f>
        <v>NA</v>
      </c>
      <c r="Z19" s="25">
        <v>0</v>
      </c>
      <c r="AA19" s="26">
        <v>0</v>
      </c>
    </row>
    <row r="20" spans="1:30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635.07913333333329</v>
      </c>
      <c r="C20" s="48" t="str">
        <f>'[10]Table4(II)'!$I$18</f>
        <v>NA</v>
      </c>
      <c r="D20" s="25">
        <v>0</v>
      </c>
      <c r="E20" s="9">
        <f>[10]Table4.B!$Q$10</f>
        <v>-173.20339999999999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0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635.07913333333329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0</v>
      </c>
      <c r="K20" s="25">
        <v>0</v>
      </c>
      <c r="L20" s="11">
        <f t="shared" si="2"/>
        <v>635.07913333333329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B$3*44/12</f>
        <v>854.7540466666668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E$3*44/28000</f>
        <v>0.58004885714285714</v>
      </c>
      <c r="P20" s="7">
        <f>N20*'GWP CFs'!$B$3</f>
        <v>0</v>
      </c>
      <c r="Q20" s="18">
        <f>O20*'GWP CFs'!$B$4</f>
        <v>153.71294714285713</v>
      </c>
      <c r="R20" s="11">
        <f>M20+P20+Q20</f>
        <v>1008.466993809524</v>
      </c>
      <c r="S20" s="18">
        <f>AA20*EFs!$B$3*44/12</f>
        <v>854.63363333333336</v>
      </c>
      <c r="T20" s="18">
        <f>AA20*0.95*EFs!$C$3/1000</f>
        <v>0</v>
      </c>
      <c r="U20" s="11">
        <f>AA20*EFs!$E$3*44/28000</f>
        <v>0.5799671428571429</v>
      </c>
      <c r="V20" s="18">
        <f>T20*'GWP CFs'!$B$3</f>
        <v>0</v>
      </c>
      <c r="W20" s="18">
        <f>U20*'GWP CFs'!$B$4</f>
        <v>153.69129285714286</v>
      </c>
      <c r="X20" s="11">
        <f>S20+V20+W20</f>
        <v>1008.3249261904762</v>
      </c>
      <c r="Y20" s="14">
        <f>[10]Table4.B!$E$10</f>
        <v>28.393999999999998</v>
      </c>
      <c r="Z20" s="25">
        <v>0</v>
      </c>
      <c r="AA20" s="39">
        <v>28.39</v>
      </c>
    </row>
    <row r="21" spans="1:30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0.05*EFs!$D$3/1000</f>
        <v>1.6539504999999999</v>
      </c>
      <c r="O21" s="26">
        <v>0</v>
      </c>
      <c r="P21" s="7">
        <f>N21*'GWP CFs'!$B$3</f>
        <v>46.310613999999994</v>
      </c>
      <c r="Q21" s="25">
        <v>0</v>
      </c>
      <c r="R21" s="11">
        <f>M21+P21+Q21</f>
        <v>46.310613999999994</v>
      </c>
      <c r="S21" s="25">
        <v>0</v>
      </c>
      <c r="T21" s="18">
        <f>AA20*0.05*EFs!$D$3/1000</f>
        <v>1.6537175000000002</v>
      </c>
      <c r="U21" s="42">
        <v>0</v>
      </c>
      <c r="V21" s="18">
        <f>T21*'GWP CFs'!$B$3</f>
        <v>46.304090000000002</v>
      </c>
      <c r="W21" s="25">
        <v>0</v>
      </c>
      <c r="X21" s="11">
        <f>V21</f>
        <v>46.304090000000002</v>
      </c>
      <c r="Y21" s="25">
        <v>0</v>
      </c>
      <c r="Z21" s="25">
        <v>0</v>
      </c>
      <c r="AA21" s="26">
        <v>0</v>
      </c>
    </row>
    <row r="22" spans="1:30" x14ac:dyDescent="0.35">
      <c r="A22" s="28" t="s">
        <v>7</v>
      </c>
      <c r="B22" s="29">
        <f>[10]Table4!$B$14</f>
        <v>38.43239354661479</v>
      </c>
      <c r="C22" s="29">
        <f>[10]Summary1.As2!$C$22</f>
        <v>1.8602640602999999E-3</v>
      </c>
      <c r="D22" s="29">
        <f>[10]Summary1.As2!$D$22</f>
        <v>1.6985019681E-4</v>
      </c>
      <c r="E22" s="30">
        <v>0</v>
      </c>
      <c r="F22" s="29">
        <f>[10]Summary2!$C$42</f>
        <v>4.6506601507500002E-2</v>
      </c>
      <c r="G22" s="29">
        <f>[10]Summary2!$D$42</f>
        <v>5.061535864938E-2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38.529515506771673</v>
      </c>
      <c r="I22" s="32">
        <f>[10]Summary2!$J$42</f>
        <v>38.529515506771673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5.2087393688399999E-2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4.5010302154650003E-2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38.529491242457844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995.43985316954308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3.194261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0.52082580000000001</v>
      </c>
      <c r="P22" s="31">
        <f>N22*'GWP CFs'!$B$3</f>
        <v>89.439307999999997</v>
      </c>
      <c r="Q22" s="31">
        <f>O22*'GWP CFs'!$B$4</f>
        <v>138.01883699999999</v>
      </c>
      <c r="R22" s="33">
        <f>M22+P22+Q22</f>
        <v>1222.8979981695431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995.3517065028766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3.1939950000000006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0.52078242857142865</v>
      </c>
      <c r="V22" s="31">
        <f>T22*'GWP CFs'!$B$3</f>
        <v>89.431860000000015</v>
      </c>
      <c r="W22" s="31">
        <f>U22*'GWP CFs'!$B$4</f>
        <v>138.00734357142858</v>
      </c>
      <c r="X22" s="33">
        <f>S22+V22+W22</f>
        <v>1222.790910074305</v>
      </c>
      <c r="Y22" s="29">
        <f>[10]Table4.C!$C$10</f>
        <v>275.41399999999999</v>
      </c>
      <c r="Z22" s="34">
        <v>0</v>
      </c>
      <c r="AA22" s="30">
        <v>0</v>
      </c>
    </row>
    <row r="23" spans="1:30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-63.069393497123421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0</v>
      </c>
      <c r="E23" s="9">
        <f>[10]Table4.C!$P$10</f>
        <v>17.200743681033661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0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-63.069393497123421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0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-63.069393497123421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[10]Table4.C!$D$10</f>
        <v>227.38</v>
      </c>
      <c r="Z23" s="25">
        <v>0</v>
      </c>
      <c r="AA23" s="26">
        <v>0</v>
      </c>
      <c r="AD23" s="82"/>
    </row>
    <row r="24" spans="1:30" x14ac:dyDescent="0.35">
      <c r="A24" s="22" t="s">
        <v>44</v>
      </c>
      <c r="B24" s="25">
        <v>0</v>
      </c>
      <c r="C24" s="25">
        <v>0</v>
      </c>
      <c r="D24" s="48" t="str">
        <f>'[10]Table4(III)'!$D$15</f>
        <v>NO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0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0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0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0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>
        <f>'[10]Table4(III)'!$B$15</f>
        <v>227.38</v>
      </c>
      <c r="Z24" s="25">
        <v>0</v>
      </c>
      <c r="AA24" s="26">
        <v>0</v>
      </c>
    </row>
    <row r="25" spans="1:30" x14ac:dyDescent="0.35">
      <c r="A25" s="6" t="s">
        <v>45</v>
      </c>
      <c r="B25" s="49" t="str">
        <f>'[10]Table4(II)'!$G$30</f>
        <v>NA</v>
      </c>
      <c r="C25" s="48" t="str">
        <f>'[10]Table4(II)'!$I$30</f>
        <v>NA</v>
      </c>
      <c r="D25" s="48" t="str">
        <f>'[10]Table4(II)'!$H$30</f>
        <v>NA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'[10]Table4(II)'!$C$30</f>
        <v>NA</v>
      </c>
      <c r="Z25" s="25">
        <v>0</v>
      </c>
      <c r="AA25" s="26">
        <v>0</v>
      </c>
    </row>
    <row r="26" spans="1:30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88.997264634475087</v>
      </c>
      <c r="C26" s="48" t="str">
        <f>'[10]Table4(II)'!$I$26</f>
        <v>NA</v>
      </c>
      <c r="D26" s="25">
        <v>0</v>
      </c>
      <c r="E26" s="9">
        <f>[10]Table4.C!$Q$10</f>
        <v>-24.271981263947751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0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88.997264634475087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0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88.997264634475087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$5*44/12</f>
        <v>1058.5092466666665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$5/1000</f>
        <v>0.77574909999999986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$5*44/28000</f>
        <v>0.52082580000000001</v>
      </c>
      <c r="P26" s="7">
        <f>N26*'GWP CFs'!$B$3</f>
        <v>21.720974799999997</v>
      </c>
      <c r="Q26" s="7">
        <f>O26*'GWP CFs'!$B$4</f>
        <v>138.01883699999999</v>
      </c>
      <c r="R26" s="11">
        <f>M26+P26+Q26</f>
        <v>1218.2490584666666</v>
      </c>
      <c r="S26" s="18">
        <f>AA26*EFs!$B$5*44/12</f>
        <v>1058.4211</v>
      </c>
      <c r="T26" s="18">
        <f>AA26*0.95*EFs!$C$5/1000</f>
        <v>0.77568450000000011</v>
      </c>
      <c r="U26" s="11">
        <f>AA26*EFs!$E$5*44/28000</f>
        <v>0.52078242857142865</v>
      </c>
      <c r="V26" s="18">
        <f>T26*'GWP CFs'!$B$3</f>
        <v>21.719166000000001</v>
      </c>
      <c r="W26" s="18">
        <f>U26*'GWP CFs'!$B$4</f>
        <v>138.00734357142858</v>
      </c>
      <c r="X26" s="11">
        <f>S26+V26+W26</f>
        <v>1218.1476095714288</v>
      </c>
      <c r="Y26" s="14">
        <f>[10]Table4.C!$E$10</f>
        <v>48.033999999999999</v>
      </c>
      <c r="Z26" s="25">
        <v>0</v>
      </c>
      <c r="AA26" s="39">
        <v>48.03</v>
      </c>
    </row>
    <row r="27" spans="1:30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$5/1000</f>
        <v>2.4185118999999999</v>
      </c>
      <c r="O27" s="10">
        <v>0</v>
      </c>
      <c r="P27" s="7">
        <f>N27*'GWP CFs'!$B$3</f>
        <v>67.718333200000004</v>
      </c>
      <c r="Q27" s="21">
        <v>0</v>
      </c>
      <c r="R27" s="11">
        <f>P27</f>
        <v>67.718333200000004</v>
      </c>
      <c r="S27" s="25">
        <v>0</v>
      </c>
      <c r="T27" s="18">
        <f>AA26*0.05*EFs!$D$5/1000</f>
        <v>2.4183105000000005</v>
      </c>
      <c r="U27" s="26">
        <v>0</v>
      </c>
      <c r="V27" s="18">
        <f>T27*'GWP CFs'!$B$3</f>
        <v>67.712694000000013</v>
      </c>
      <c r="W27" s="25">
        <v>0</v>
      </c>
      <c r="X27" s="11">
        <f>V27</f>
        <v>67.712694000000013</v>
      </c>
      <c r="Y27" s="25">
        <v>0</v>
      </c>
      <c r="Z27" s="25">
        <v>0</v>
      </c>
      <c r="AA27" s="26">
        <v>0</v>
      </c>
    </row>
    <row r="28" spans="1:30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2429.7782666666667</v>
      </c>
      <c r="T28" s="31">
        <f>T29+T30</f>
        <v>10.745031999999998</v>
      </c>
      <c r="U28" s="33">
        <f>U29</f>
        <v>0.42612114285714286</v>
      </c>
      <c r="V28" s="31">
        <f>V29+V30</f>
        <v>300.86089599999991</v>
      </c>
      <c r="W28" s="31">
        <f>W29</f>
        <v>112.92210285714286</v>
      </c>
      <c r="X28" s="33">
        <f>X29+X30</f>
        <v>2843.5612655238097</v>
      </c>
      <c r="Y28" s="34">
        <v>0</v>
      </c>
      <c r="Z28" s="34">
        <v>0</v>
      </c>
      <c r="AA28" s="30">
        <v>0</v>
      </c>
    </row>
    <row r="29" spans="1:30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AA29*EFs!$B$7*44/12</f>
        <v>2429.7782666666667</v>
      </c>
      <c r="T29" s="18">
        <f>AA29*0.95*EFs!$C$7/1000</f>
        <v>6.2792339999999989</v>
      </c>
      <c r="U29" s="11">
        <f>AA29*EFs!$E$7*44/28000</f>
        <v>0.42612114285714286</v>
      </c>
      <c r="V29" s="18">
        <f>T29*'GWP CFs'!$B$3</f>
        <v>175.81855199999995</v>
      </c>
      <c r="W29" s="18">
        <f>U29*'GWP CFs'!$B$4</f>
        <v>112.92210285714286</v>
      </c>
      <c r="X29" s="11">
        <f>S29+V29+W29</f>
        <v>2718.5189215238097</v>
      </c>
      <c r="Y29" s="25">
        <v>0</v>
      </c>
      <c r="Z29" s="25">
        <v>0</v>
      </c>
      <c r="AA29" s="39">
        <v>169.48</v>
      </c>
    </row>
    <row r="30" spans="1:30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AA29*0.05*EFs!$D$7/1000</f>
        <v>4.4657979999999995</v>
      </c>
      <c r="U30" s="42">
        <v>0</v>
      </c>
      <c r="V30" s="44">
        <f>T30*'GWP CFs'!$B$3</f>
        <v>125.04234399999999</v>
      </c>
      <c r="W30" s="90">
        <v>0</v>
      </c>
      <c r="X30" s="46">
        <f>V30</f>
        <v>125.04234399999999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zoomScale="60" zoomScaleNormal="60" workbookViewId="0">
      <selection activeCell="A30" sqref="A30:AA30"/>
    </sheetView>
  </sheetViews>
  <sheetFormatPr baseColWidth="10" defaultRowHeight="14.5" x14ac:dyDescent="0.35"/>
  <cols>
    <col min="1" max="1" width="47.7265625" customWidth="1"/>
  </cols>
  <sheetData>
    <row r="1" spans="1:27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2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[11]Summary1.As1!$B$7</f>
        <v>32791.988170380042</v>
      </c>
      <c r="C3" s="8">
        <f>[11]Summary1.As1!$C$7</f>
        <v>212.4115857307421</v>
      </c>
      <c r="D3" s="14">
        <f>[11]Summary1.As1!$D$7</f>
        <v>22.782116353587881</v>
      </c>
      <c r="E3" s="26">
        <v>0</v>
      </c>
      <c r="F3" s="8">
        <f>[11]Summary2!C7</f>
        <v>5310.2896432685529</v>
      </c>
      <c r="G3" s="8">
        <f>[11]Summary2!D7</f>
        <v>6789.0706733691886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44891.348487017785</v>
      </c>
      <c r="I3" s="9">
        <f>[11]Summary2!$J$7</f>
        <v>46091.243615736661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5947.5244004607794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6037.2608337007887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44776.773404541615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[11]Summary1.As2!$B$8</f>
        <v>211.75947378590587</v>
      </c>
      <c r="C4" s="29">
        <f>[11]Summary1.As2!$C$8</f>
        <v>101.2469701057979</v>
      </c>
      <c r="D4" s="29">
        <f>[11]Summary1.As2!$D$8</f>
        <v>12.81731188462393</v>
      </c>
      <c r="E4" s="30">
        <v>0</v>
      </c>
      <c r="F4" s="29">
        <f>[11]Summary2!$C$28</f>
        <v>2531.1742526449475</v>
      </c>
      <c r="G4" s="29">
        <f>[11]Summary2!$D$28</f>
        <v>3819.5589416179309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6562.4926680487843</v>
      </c>
      <c r="I4" s="32">
        <f>[11]Summary2!$J$28</f>
        <v>6562.4926680487843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2834.9151629623411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3396.5876494253412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6443.2622861735881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25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[11]Summary1.As2!$C$9</f>
        <v>83.129794265082836</v>
      </c>
      <c r="D5" s="21">
        <v>0</v>
      </c>
      <c r="E5" s="26">
        <v>0</v>
      </c>
      <c r="F5" s="8">
        <f>[11]Summary2!$C$29</f>
        <v>2078.2448566270709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2078.2448566270709</v>
      </c>
      <c r="I5" s="14">
        <f>[11]Summary2!$J$29</f>
        <v>2078.2448566270709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2327.6342394223193</v>
      </c>
      <c r="K5" s="25">
        <v>0</v>
      </c>
      <c r="L5" s="11">
        <f t="shared" si="0"/>
        <v>2327.6342394223193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25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[11]Summary1.As2!$C$10</f>
        <v>18.052972850953839</v>
      </c>
      <c r="D6" s="14">
        <f>[11]Summary1.As2!$D$10</f>
        <v>0.93535542511962</v>
      </c>
      <c r="E6" s="26">
        <v>0</v>
      </c>
      <c r="F6" s="8">
        <f>[11]Summary2!C30</f>
        <v>451.32432127384601</v>
      </c>
      <c r="G6" s="14">
        <f>[11]Summary2!D30</f>
        <v>278.73591668564677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730.06023795949272</v>
      </c>
      <c r="I6" s="14">
        <f>[11]Summary2!$J$30</f>
        <v>730.06023795949272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505.48323982670752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247.8691876566993</v>
      </c>
      <c r="L6" s="11">
        <f t="shared" si="0"/>
        <v>753.35242748340681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25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 t="str">
        <f>[11]Table3s2!$C$7</f>
        <v>NO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0</v>
      </c>
      <c r="G7" s="25">
        <v>0</v>
      </c>
      <c r="H7" s="7">
        <f t="shared" si="1"/>
        <v>0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0</v>
      </c>
      <c r="K7" s="25">
        <v>0</v>
      </c>
      <c r="L7" s="11">
        <f t="shared" si="0"/>
        <v>0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25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[11]Summary1.As2!$C$12</f>
        <v>NE,NO</v>
      </c>
      <c r="D8" s="14">
        <f>[11]Summary1.As2!$D$12</f>
        <v>11.88029193754754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[11]Summary2!$D$32</f>
        <v>3540.326997389167</v>
      </c>
      <c r="H8" s="7">
        <f t="shared" si="1"/>
        <v>3540.326997389167</v>
      </c>
      <c r="I8" s="9">
        <f>[11]Summary2!$J$32</f>
        <v>3540.326997389167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3148.2773634500982</v>
      </c>
      <c r="L8" s="11">
        <f t="shared" si="0"/>
        <v>3148.2773634500982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25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>
        <f>[11]Table3.D!$E$17</f>
        <v>5.0381655886115304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1501.373345406236</v>
      </c>
      <c r="H9" s="7">
        <f t="shared" si="1"/>
        <v>1501.373345406236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1335.1138809820557</v>
      </c>
      <c r="L9" s="11">
        <f t="shared" si="0"/>
        <v>1335.1138809820557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8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329.42399999999998</v>
      </c>
      <c r="Z9" s="14">
        <f>[11]Table3.D!$C$17</f>
        <v>329424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[11]Table3s2!C9</f>
        <v>NO</v>
      </c>
      <c r="D10" s="14" t="str">
        <f>[11]Table3s2!D9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25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>
        <f>[11]Table3s2!C10</f>
        <v>6.4202989761220006E-2</v>
      </c>
      <c r="D11" s="14">
        <f>[11]Table3s2!D10</f>
        <v>1.66452195677E-3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1.6050747440305002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0.49602754311746</v>
      </c>
      <c r="H11" s="7">
        <f t="shared" si="1"/>
        <v>2.1011022871479601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1.7976837133141601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0.44109831854405002</v>
      </c>
      <c r="L11" s="11">
        <f t="shared" si="0"/>
        <v>2.2387820318582099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25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>
        <f>[11]Table3s2!B11</f>
        <v>210.28045719999997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210.28045719999997</v>
      </c>
      <c r="I12" s="26">
        <v>0</v>
      </c>
      <c r="J12" s="25">
        <v>0</v>
      </c>
      <c r="K12" s="25">
        <v>0</v>
      </c>
      <c r="L12" s="11">
        <f t="shared" si="0"/>
        <v>210.28045719999997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25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>
        <f>[11]Table3s2!B12</f>
        <v>1.4790165859058999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1.4790165859058999</v>
      </c>
      <c r="I13" s="26">
        <v>0</v>
      </c>
      <c r="J13" s="25">
        <v>0</v>
      </c>
      <c r="K13" s="25">
        <v>0</v>
      </c>
      <c r="L13" s="11">
        <f t="shared" si="0"/>
        <v>1.4790165859058999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25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 t="str">
        <f>[11]Table3s2!B13</f>
        <v>NA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25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[11]Table3s2!B14</f>
        <v>NO</v>
      </c>
      <c r="C15" s="14" t="str">
        <f>[11]Table3s2!C14</f>
        <v>NO</v>
      </c>
      <c r="D15" s="14" t="str">
        <f>[11]Table3s2!D14</f>
        <v>NO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25">
        <v>0</v>
      </c>
      <c r="Z15" s="25">
        <v>0</v>
      </c>
      <c r="AA15" s="42">
        <v>0</v>
      </c>
    </row>
    <row r="16" spans="1:27" x14ac:dyDescent="0.35">
      <c r="A16" s="28" t="s">
        <v>8</v>
      </c>
      <c r="B16" s="29">
        <f>[11]Table4!$B$11</f>
        <v>8055.589666666674</v>
      </c>
      <c r="C16" s="29" t="str">
        <f>[11]Summary1.As2!$C$21</f>
        <v>IE,NA</v>
      </c>
      <c r="D16" s="29">
        <f>[11]Summary1.As2!$D$21</f>
        <v>2.4E-2</v>
      </c>
      <c r="E16" s="30">
        <v>0</v>
      </c>
      <c r="F16" s="29" t="str">
        <f>[11]Summary2!$C$41</f>
        <v>IE,NA</v>
      </c>
      <c r="G16" s="29">
        <f>[11]Summary2!$D$41</f>
        <v>7.1520000000000001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8062.7416666666741</v>
      </c>
      <c r="I16" s="32">
        <f>[11]Summary2!$J$41</f>
        <v>8062.7416666666741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0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6.36</v>
      </c>
      <c r="L16" s="11">
        <f t="shared" si="2"/>
        <v>8061.9496666666737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7917.4268799999991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15.291673499999998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4.0389142145262849</v>
      </c>
      <c r="P16" s="31">
        <f>N16*'GWP CFs'!$B$3</f>
        <v>428.16685799999993</v>
      </c>
      <c r="Q16" s="31">
        <f>O16*'GWP CFs'!$B$4</f>
        <v>1070.3122668494655</v>
      </c>
      <c r="R16" s="33">
        <f>M16+P16+Q16</f>
        <v>9415.9060048494648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7917.4268799999991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15.291673499999998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4.0389142145262849</v>
      </c>
      <c r="V16" s="31">
        <f>T16*'GWP CFs'!$B$3</f>
        <v>428.16685799999993</v>
      </c>
      <c r="W16" s="31">
        <f>U16*'GWP CFs'!$B$4</f>
        <v>1070.3122668494655</v>
      </c>
      <c r="X16" s="33">
        <f>S16+V16+W16</f>
        <v>9415.9060048494648</v>
      </c>
      <c r="Y16" s="29">
        <f>[11]Table4.B!$C$10</f>
        <v>2489.5</v>
      </c>
      <c r="Z16" s="34">
        <v>0</v>
      </c>
      <c r="AA16" s="30">
        <v>0</v>
      </c>
    </row>
    <row r="17" spans="1:27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1487.4859999999999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2.4E-2</v>
      </c>
      <c r="E17" s="9">
        <f>[11]Table4.B!$P$10</f>
        <v>-405.678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7.1520000000000001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1494.6379999999999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6.36</v>
      </c>
      <c r="L17" s="11">
        <f t="shared" si="2"/>
        <v>1493.8459999999998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[11]Table4.B!$D$10</f>
        <v>2226.982</v>
      </c>
      <c r="Z17" s="25">
        <v>0</v>
      </c>
      <c r="AA17" s="26">
        <v>0</v>
      </c>
    </row>
    <row r="18" spans="1:27" x14ac:dyDescent="0.35">
      <c r="A18" s="22" t="s">
        <v>44</v>
      </c>
      <c r="B18" s="12">
        <v>0</v>
      </c>
      <c r="C18" s="21">
        <v>0</v>
      </c>
      <c r="D18" s="48">
        <f>'[11]Table4(III)'!$D$18</f>
        <v>2.4E-2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7.1520000000000001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7.1520000000000001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6.36</v>
      </c>
      <c r="L18" s="11">
        <f t="shared" si="2"/>
        <v>6.36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'[11]Table4(III)'!$B$18</f>
        <v>69.606999999999999</v>
      </c>
      <c r="Z18" s="25">
        <v>0</v>
      </c>
      <c r="AA18" s="26">
        <v>0</v>
      </c>
    </row>
    <row r="19" spans="1:27" x14ac:dyDescent="0.35">
      <c r="A19" s="6" t="s">
        <v>45</v>
      </c>
      <c r="B19" s="49" t="str">
        <f>'[11]Table4(II)'!$G$22</f>
        <v>NA</v>
      </c>
      <c r="C19" s="48" t="str">
        <f>'[11]Table4(II)'!$I$22</f>
        <v>NA</v>
      </c>
      <c r="D19" s="48" t="str">
        <f>'[11]Table4(II)'!$H$22</f>
        <v>NA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'[11]Table4(II)'!$C$22</f>
        <v>NA</v>
      </c>
      <c r="Z19" s="25">
        <v>0</v>
      </c>
      <c r="AA19" s="26">
        <v>0</v>
      </c>
    </row>
    <row r="20" spans="1:27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6314.6783333333333</v>
      </c>
      <c r="C20" s="48" t="str">
        <f>'[11]Table4(II)'!$I$18</f>
        <v>NA</v>
      </c>
      <c r="D20" s="25">
        <v>0</v>
      </c>
      <c r="E20" s="9">
        <f>[11]Table4.B!$Q$10</f>
        <v>-1722.1849999999999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0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6314.6783333333333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0</v>
      </c>
      <c r="K20" s="25">
        <v>0</v>
      </c>
      <c r="L20" s="11">
        <f t="shared" si="2"/>
        <v>6314.6783333333333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B$12*44/12</f>
        <v>6429.9408799999992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0.95*EFs!$C$2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E$12*44/28000</f>
        <v>4.0149142145262848</v>
      </c>
      <c r="P20" s="7">
        <f>N20*'GWP CFs'!$B$3</f>
        <v>0</v>
      </c>
      <c r="Q20" s="18">
        <f>O20*'GWP CFs'!$B$4</f>
        <v>1063.9522668494656</v>
      </c>
      <c r="R20" s="11">
        <f>M20+P20+Q20</f>
        <v>7493.8931468494648</v>
      </c>
      <c r="S20" s="18">
        <f>AA20*EFs!$B$12*44/12</f>
        <v>6429.9408799999992</v>
      </c>
      <c r="T20" s="18">
        <f>AA20*0.95*EFs!$C$2/1000</f>
        <v>0</v>
      </c>
      <c r="U20" s="11">
        <f>AA20*EFs!$E$12*44/28000</f>
        <v>4.0149142145262848</v>
      </c>
      <c r="V20" s="18">
        <f>T20*'GWP CFs'!$B$3</f>
        <v>0</v>
      </c>
      <c r="W20" s="18">
        <f>U20*'GWP CFs'!$B$4</f>
        <v>1063.9522668494656</v>
      </c>
      <c r="X20" s="11">
        <f>S20+V20+W20</f>
        <v>7493.8931468494648</v>
      </c>
      <c r="Y20" s="14">
        <f>[11]Table4.B!$E$10</f>
        <v>262.51799999999997</v>
      </c>
      <c r="Z20" s="25">
        <v>0</v>
      </c>
      <c r="AA20" s="39">
        <v>262.51799999999997</v>
      </c>
    </row>
    <row r="21" spans="1:27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0.05*EFs!$D$2/1000</f>
        <v>15.291673499999998</v>
      </c>
      <c r="O21" s="26">
        <v>0</v>
      </c>
      <c r="P21" s="7">
        <f>N21*'GWP CFs'!$B$3</f>
        <v>428.16685799999993</v>
      </c>
      <c r="Q21" s="25">
        <v>0</v>
      </c>
      <c r="R21" s="11">
        <f>M21+P21+Q21</f>
        <v>428.16685799999993</v>
      </c>
      <c r="S21" s="25">
        <v>0</v>
      </c>
      <c r="T21" s="18">
        <f>AA20*0.05*EFs!$D$2/1000</f>
        <v>15.291673499999998</v>
      </c>
      <c r="U21" s="42">
        <v>0</v>
      </c>
      <c r="V21" s="18">
        <f>T21*'GWP CFs'!$B$3</f>
        <v>428.16685799999993</v>
      </c>
      <c r="W21" s="25">
        <v>0</v>
      </c>
      <c r="X21" s="11">
        <f>V21</f>
        <v>428.16685799999993</v>
      </c>
      <c r="Y21" s="25">
        <v>0</v>
      </c>
      <c r="Z21" s="25">
        <v>0</v>
      </c>
      <c r="AA21" s="26">
        <v>0</v>
      </c>
    </row>
    <row r="22" spans="1:27" x14ac:dyDescent="0.35">
      <c r="A22" s="28" t="s">
        <v>7</v>
      </c>
      <c r="B22" s="29">
        <f>[11]Table4!$B$14</f>
        <v>728.17720566666731</v>
      </c>
      <c r="C22" s="29">
        <f>[11]Summary1.As2!$C$22</f>
        <v>1.018E-3</v>
      </c>
      <c r="D22" s="29">
        <f>[11]Summary1.As2!$D$22</f>
        <v>2.5929999999999998E-3</v>
      </c>
      <c r="E22" s="30">
        <v>0</v>
      </c>
      <c r="F22" s="29">
        <f>[11]Summary2!$C$42</f>
        <v>2.545E-2</v>
      </c>
      <c r="G22" s="29">
        <f>[11]Summary2!$D$42</f>
        <v>0.77271400000000001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728.97536966666723</v>
      </c>
      <c r="I22" s="32">
        <f>[11]Summary2!$J$42</f>
        <v>728.97536966666735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2.8504000000000002E-2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0.68714500000000001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728.89285466666729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864.43397333333348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3.9862594800000006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1.025751169204</v>
      </c>
      <c r="P22" s="31">
        <f>N22*'GWP CFs'!$B$3</f>
        <v>111.61526544000002</v>
      </c>
      <c r="Q22" s="31">
        <f>O22*'GWP CFs'!$B$4</f>
        <v>271.82405983906</v>
      </c>
      <c r="R22" s="33">
        <f>M22+P22+Q22</f>
        <v>1247.8732986123935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864.43397333333348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3.9862594800000006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1.025751169204</v>
      </c>
      <c r="V22" s="31">
        <f>T22*'GWP CFs'!$B$3</f>
        <v>111.61526544000002</v>
      </c>
      <c r="W22" s="31">
        <f>U22*'GWP CFs'!$B$4</f>
        <v>271.82405983906</v>
      </c>
      <c r="X22" s="33">
        <f>S22+V22+W22</f>
        <v>1247.8732986123935</v>
      </c>
      <c r="Y22" s="29">
        <f>[11]Table4.C!$C$10</f>
        <v>243.81399999999999</v>
      </c>
      <c r="Z22" s="34">
        <v>0</v>
      </c>
      <c r="AA22" s="30">
        <v>0</v>
      </c>
    </row>
    <row r="23" spans="1:27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-23.631666666666668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2.5000000000000001E-3</v>
      </c>
      <c r="E23" s="9">
        <f>[11]Table4.C!$P$10</f>
        <v>6.4450000000000003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0.745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-22.886666666666667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0.66249999999999998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-22.969166666666666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[11]Table4.C!$D$10</f>
        <v>176.90799999999999</v>
      </c>
      <c r="Z23" s="25">
        <v>0</v>
      </c>
      <c r="AA23" s="26">
        <v>0</v>
      </c>
    </row>
    <row r="24" spans="1:27" x14ac:dyDescent="0.35">
      <c r="A24" s="22" t="s">
        <v>44</v>
      </c>
      <c r="B24" s="25">
        <v>0</v>
      </c>
      <c r="C24" s="25">
        <v>0</v>
      </c>
      <c r="D24" s="48">
        <f>'[11]Table4(III)'!$D$24</f>
        <v>2.5000000000000001E-3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0.745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0.745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0.66249999999999998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0.66249999999999998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>
        <f>'[11]Table4(III)'!$B$24</f>
        <v>50.223999999999997</v>
      </c>
      <c r="Z24" s="25">
        <v>0</v>
      </c>
      <c r="AA24" s="26">
        <v>0</v>
      </c>
    </row>
    <row r="25" spans="1:27" x14ac:dyDescent="0.35">
      <c r="A25" s="6" t="s">
        <v>45</v>
      </c>
      <c r="B25" s="49" t="str">
        <f>'[11]Table4(II)'!$G$30</f>
        <v>NA</v>
      </c>
      <c r="C25" s="48" t="str">
        <f>'[11]Table4(II)'!$I$30</f>
        <v>NA</v>
      </c>
      <c r="D25" s="48" t="str">
        <f>'[11]Table4(II)'!$H$30</f>
        <v>NA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'[11]Table4(II)'!$C$30</f>
        <v>NA</v>
      </c>
      <c r="Z25" s="25">
        <v>0</v>
      </c>
      <c r="AA25" s="26">
        <v>0</v>
      </c>
    </row>
    <row r="26" spans="1:27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858.62699999999995</v>
      </c>
      <c r="C26" s="48" t="str">
        <f>'[11]Table4(II)'!$I$26</f>
        <v>NE,NA</v>
      </c>
      <c r="D26" s="25">
        <v>0</v>
      </c>
      <c r="E26" s="9">
        <f>[11]Table4.C!$Q$10</f>
        <v>-234.17099999999999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0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858.62699999999995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0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858.62699999999995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$13*44/12</f>
        <v>888.06564000000014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$4/1000</f>
        <v>8.8984980000000005E-2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$13*44/28000</f>
        <v>1.0232511692040001</v>
      </c>
      <c r="P26" s="7">
        <f>N26*'GWP CFs'!$B$3</f>
        <v>2.4915794400000002</v>
      </c>
      <c r="Q26" s="7">
        <f>O26*'GWP CFs'!$B$4</f>
        <v>271.16155983906003</v>
      </c>
      <c r="R26" s="11">
        <f>M26+P26+Q26</f>
        <v>1161.7187792790601</v>
      </c>
      <c r="S26" s="18">
        <f>AA26*EFs!$B$13*44/12</f>
        <v>888.06564000000014</v>
      </c>
      <c r="T26" s="18">
        <f>AA26*0.95*EFs!$C$4/1000</f>
        <v>8.8984980000000005E-2</v>
      </c>
      <c r="U26" s="11">
        <f>AA26*EFs!$E$13*44/28000</f>
        <v>1.0232511692040001</v>
      </c>
      <c r="V26" s="18">
        <f>T26*'GWP CFs'!$B$3</f>
        <v>2.4915794400000002</v>
      </c>
      <c r="W26" s="18">
        <f>U26*'GWP CFs'!$B$4</f>
        <v>271.16155983906003</v>
      </c>
      <c r="X26" s="11">
        <f>S26+V26+W26</f>
        <v>1161.7187792790601</v>
      </c>
      <c r="Y26" s="14">
        <f>[11]Table4.C!$E$10</f>
        <v>66.906000000000006</v>
      </c>
      <c r="Z26" s="25">
        <v>0</v>
      </c>
      <c r="AA26" s="39">
        <v>66.906000000000006</v>
      </c>
    </row>
    <row r="27" spans="1:27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$4/1000</f>
        <v>3.8972745000000004</v>
      </c>
      <c r="O27" s="10">
        <v>0</v>
      </c>
      <c r="P27" s="7">
        <f>N27*'GWP CFs'!$B$3</f>
        <v>109.12368600000001</v>
      </c>
      <c r="Q27" s="21">
        <v>0</v>
      </c>
      <c r="R27" s="11">
        <f>P27</f>
        <v>109.12368600000001</v>
      </c>
      <c r="S27" s="25">
        <v>0</v>
      </c>
      <c r="T27" s="18">
        <f>AA26*0.05*EFs!$D$4/1000</f>
        <v>3.8972745000000004</v>
      </c>
      <c r="U27" s="26">
        <v>0</v>
      </c>
      <c r="V27" s="18">
        <f>T27*'GWP CFs'!$B$3</f>
        <v>109.12368600000001</v>
      </c>
      <c r="W27" s="25">
        <v>0</v>
      </c>
      <c r="X27" s="11">
        <f>V27</f>
        <v>109.12368600000001</v>
      </c>
      <c r="Y27" s="25">
        <v>0</v>
      </c>
      <c r="Z27" s="25">
        <v>0</v>
      </c>
      <c r="AA27" s="26">
        <v>0</v>
      </c>
    </row>
    <row r="28" spans="1:27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0</v>
      </c>
      <c r="T28" s="31">
        <f>T29+T30</f>
        <v>0</v>
      </c>
      <c r="U28" s="33">
        <f>U29</f>
        <v>0</v>
      </c>
      <c r="V28" s="31">
        <f>V29+V30</f>
        <v>0</v>
      </c>
      <c r="W28" s="31">
        <f>W29</f>
        <v>0</v>
      </c>
      <c r="X28" s="33">
        <f>X29+X30</f>
        <v>0</v>
      </c>
      <c r="Y28" s="34">
        <v>0</v>
      </c>
      <c r="Z28" s="34">
        <v>0</v>
      </c>
      <c r="AA28" s="30">
        <v>0</v>
      </c>
    </row>
    <row r="29" spans="1:27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0</v>
      </c>
      <c r="T29" s="18">
        <f>AA29*0.95*EFs!$C$9/1000</f>
        <v>0</v>
      </c>
      <c r="U29" s="11">
        <f>AA29*EFs!$E$9*44/28000</f>
        <v>0</v>
      </c>
      <c r="V29" s="18">
        <f>T29*'GWP CFs'!$B$3</f>
        <v>0</v>
      </c>
      <c r="W29" s="18">
        <f>U29*'GWP CFs'!$B$4</f>
        <v>0</v>
      </c>
      <c r="X29" s="11">
        <f>S29+V29+W29</f>
        <v>0</v>
      </c>
      <c r="Y29" s="25">
        <v>0</v>
      </c>
      <c r="Z29" s="25">
        <v>0</v>
      </c>
      <c r="AA29" s="39">
        <v>0</v>
      </c>
    </row>
    <row r="30" spans="1:27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0</v>
      </c>
      <c r="U30" s="42">
        <v>0</v>
      </c>
      <c r="V30" s="44">
        <f>T30*'GWP CFs'!$B$3</f>
        <v>0</v>
      </c>
      <c r="W30" s="90">
        <v>0</v>
      </c>
      <c r="X30" s="46">
        <f>V30</f>
        <v>0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zoomScale="82" zoomScaleNormal="60" workbookViewId="0">
      <selection activeCell="M26" sqref="M26"/>
    </sheetView>
  </sheetViews>
  <sheetFormatPr baseColWidth="10" defaultRowHeight="14.5" x14ac:dyDescent="0.35"/>
  <cols>
    <col min="1" max="1" width="47.453125" customWidth="1"/>
  </cols>
  <sheetData>
    <row r="1" spans="1:27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2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[12]Summary1.As1!$B$7</f>
        <v>308577.41692452208</v>
      </c>
      <c r="C3" s="8">
        <f>[12]Summary1.As1!$C$7</f>
        <v>2309.1643198320003</v>
      </c>
      <c r="D3" s="14">
        <f>[12]Summary1.As1!$D$7</f>
        <v>145.84299160535627</v>
      </c>
      <c r="E3" s="26">
        <v>0</v>
      </c>
      <c r="F3" s="8">
        <f>[12]Summary2!C7</f>
        <v>57729.107995800005</v>
      </c>
      <c r="G3" s="8">
        <f>[12]Summary2!D7</f>
        <v>43461.211498396166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409767.7364187183</v>
      </c>
      <c r="I3" s="9">
        <f>[12]Summary2!$J$7</f>
        <v>426828.05915510515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64656.600955296009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38648.392775419416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411882.4106552375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[12]Summary1.As2!$B$8</f>
        <v>2018.588051012887</v>
      </c>
      <c r="C4" s="29">
        <f>[12]Summary1.As2!$C$8</f>
        <v>1531.9010670404243</v>
      </c>
      <c r="D4" s="29">
        <f>[12]Summary1.As2!$D$8</f>
        <v>116.48532668117431</v>
      </c>
      <c r="E4" s="30">
        <v>0</v>
      </c>
      <c r="F4" s="29">
        <f>[12]Summary2!$C$28</f>
        <v>38297.52667601061</v>
      </c>
      <c r="G4" s="29">
        <f>[12]Summary2!$D$28</f>
        <v>34712.627350989947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75028.742078013442</v>
      </c>
      <c r="I4" s="32">
        <f>[12]Summary2!$J$28</f>
        <v>75028.742078013442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42893.229877131882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30868.611570511192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75780.429498655954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25">
        <v>0</v>
      </c>
      <c r="Z4" s="25">
        <v>0</v>
      </c>
      <c r="AA4" s="25">
        <v>0</v>
      </c>
    </row>
    <row r="5" spans="1:27" x14ac:dyDescent="0.35">
      <c r="A5" s="4" t="s">
        <v>9</v>
      </c>
      <c r="B5" s="24">
        <v>0</v>
      </c>
      <c r="C5" s="14">
        <f>[12]Summary1.As2!$C$9</f>
        <v>1372.6434726217333</v>
      </c>
      <c r="D5" s="21">
        <v>0</v>
      </c>
      <c r="E5" s="26">
        <v>0</v>
      </c>
      <c r="F5" s="8">
        <f>[12]Summary2!$C$29</f>
        <v>34316.086815543335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34316.086815543335</v>
      </c>
      <c r="I5" s="14">
        <f>[12]Summary2!$J$29</f>
        <v>34316.086815543335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38434.017233408529</v>
      </c>
      <c r="K5" s="25">
        <v>0</v>
      </c>
      <c r="L5" s="11">
        <f t="shared" si="0"/>
        <v>38434.017233408529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25">
        <v>0</v>
      </c>
      <c r="Z5" s="25">
        <v>0</v>
      </c>
      <c r="AA5" s="25">
        <v>0</v>
      </c>
    </row>
    <row r="6" spans="1:27" x14ac:dyDescent="0.35">
      <c r="A6" s="4" t="s">
        <v>10</v>
      </c>
      <c r="B6" s="24">
        <v>0</v>
      </c>
      <c r="C6" s="14">
        <f>[12]Summary1.As2!$C$10</f>
        <v>154.90009537164715</v>
      </c>
      <c r="D6" s="14">
        <f>[12]Summary1.As2!$D$10</f>
        <v>8.4390453802376104</v>
      </c>
      <c r="E6" s="26">
        <v>0</v>
      </c>
      <c r="F6" s="8">
        <f>[12]Summary2!C30</f>
        <v>3872.5023842911787</v>
      </c>
      <c r="G6" s="14">
        <f>[12]Summary2!D30</f>
        <v>2514.8355233108077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6387.3379076019864</v>
      </c>
      <c r="I6" s="14">
        <f>[12]Summary2!$J$30</f>
        <v>6387.3379076019864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4337.20267040612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2236.347025762967</v>
      </c>
      <c r="L6" s="11">
        <f t="shared" si="0"/>
        <v>6573.5496961690869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25">
        <v>0</v>
      </c>
      <c r="Z6" s="25">
        <v>0</v>
      </c>
      <c r="AA6" s="25">
        <v>0</v>
      </c>
    </row>
    <row r="7" spans="1:27" x14ac:dyDescent="0.35">
      <c r="A7" s="4" t="s">
        <v>11</v>
      </c>
      <c r="B7" s="24">
        <v>0</v>
      </c>
      <c r="C7" s="14">
        <f>[12]Table3s2!$C$7</f>
        <v>2.5231028263055402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63.077570657638503</v>
      </c>
      <c r="G7" s="25">
        <v>0</v>
      </c>
      <c r="H7" s="7">
        <f t="shared" si="1"/>
        <v>63.077570657638503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70.646879136555128</v>
      </c>
      <c r="K7" s="25">
        <v>0</v>
      </c>
      <c r="L7" s="11">
        <f t="shared" si="0"/>
        <v>70.646879136555128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25">
        <v>0</v>
      </c>
      <c r="Z7" s="25">
        <v>0</v>
      </c>
      <c r="AA7" s="25">
        <v>0</v>
      </c>
    </row>
    <row r="8" spans="1:27" x14ac:dyDescent="0.35">
      <c r="A8" s="4" t="s">
        <v>12</v>
      </c>
      <c r="B8" s="24">
        <v>0</v>
      </c>
      <c r="C8" s="14" t="str">
        <f>[12]Summary1.As2!$C$12</f>
        <v>NO</v>
      </c>
      <c r="D8" s="14">
        <f>[12]Summary1.As2!$D$12</f>
        <v>107.99872288039904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[12]Summary2!$D$32</f>
        <v>32183.619418358914</v>
      </c>
      <c r="H8" s="7">
        <f t="shared" si="1"/>
        <v>32183.619418358914</v>
      </c>
      <c r="I8" s="9">
        <f>[12]Summary2!$J$32</f>
        <v>32183.619418358914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28619.661563305748</v>
      </c>
      <c r="L8" s="11">
        <f t="shared" si="0"/>
        <v>28619.661563305748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25">
        <v>0</v>
      </c>
      <c r="Z8" s="25">
        <v>0</v>
      </c>
      <c r="AA8" s="25">
        <v>0</v>
      </c>
    </row>
    <row r="9" spans="1:27" x14ac:dyDescent="0.35">
      <c r="A9" s="4" t="s">
        <v>42</v>
      </c>
      <c r="B9" s="24">
        <v>0</v>
      </c>
      <c r="C9" s="21">
        <v>0</v>
      </c>
      <c r="D9" s="14">
        <f>[12]Table3.D!$E$17</f>
        <v>1.75212833714286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522.13424446857232</v>
      </c>
      <c r="H9" s="7">
        <f t="shared" si="1"/>
        <v>522.13424446857232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464.3140093428579</v>
      </c>
      <c r="L9" s="11">
        <f t="shared" si="0"/>
        <v>464.3140093428579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8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139.05584500000001</v>
      </c>
      <c r="Z9" s="14">
        <f>[12]Table3.D!$C$17</f>
        <v>139055.845</v>
      </c>
      <c r="AA9" s="25">
        <v>0</v>
      </c>
    </row>
    <row r="10" spans="1:27" x14ac:dyDescent="0.35">
      <c r="A10" s="4" t="s">
        <v>13</v>
      </c>
      <c r="B10" s="24">
        <v>0</v>
      </c>
      <c r="C10" s="14" t="str">
        <f>[12]Table3s2!C9</f>
        <v>NO</v>
      </c>
      <c r="D10" s="14" t="str">
        <f>[12]Table3s2!D9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25">
        <v>0</v>
      </c>
      <c r="Z10" s="25">
        <v>0</v>
      </c>
      <c r="AA10" s="25">
        <v>0</v>
      </c>
    </row>
    <row r="11" spans="1:27" x14ac:dyDescent="0.35">
      <c r="A11" s="4" t="s">
        <v>14</v>
      </c>
      <c r="B11" s="24">
        <v>0</v>
      </c>
      <c r="C11" s="14">
        <f>[12]Table3s2!C10</f>
        <v>1.8343962207381801</v>
      </c>
      <c r="D11" s="14">
        <f>[12]Table3s2!D10</f>
        <v>4.7558420537659997E-2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45.859905518454504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14.172409320222679</v>
      </c>
      <c r="H11" s="7">
        <f t="shared" si="1"/>
        <v>60.032314838677181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51.363094180669044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12.6029814424799</v>
      </c>
      <c r="L11" s="11">
        <f t="shared" si="0"/>
        <v>63.966075623148946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25">
        <v>0</v>
      </c>
      <c r="Z11" s="25">
        <v>0</v>
      </c>
      <c r="AA11" s="25">
        <v>0</v>
      </c>
    </row>
    <row r="12" spans="1:27" x14ac:dyDescent="0.35">
      <c r="A12" s="4" t="s">
        <v>15</v>
      </c>
      <c r="B12" s="8">
        <f>[12]Table3s2!B11</f>
        <v>731.53881291764696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731.53881291764696</v>
      </c>
      <c r="I12" s="26">
        <v>0</v>
      </c>
      <c r="J12" s="25">
        <v>0</v>
      </c>
      <c r="K12" s="25">
        <v>0</v>
      </c>
      <c r="L12" s="11">
        <f t="shared" si="0"/>
        <v>731.53881291764696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25">
        <v>0</v>
      </c>
      <c r="Z12" s="25">
        <v>0</v>
      </c>
      <c r="AA12" s="25">
        <v>0</v>
      </c>
    </row>
    <row r="13" spans="1:27" x14ac:dyDescent="0.35">
      <c r="A13" s="4" t="s">
        <v>16</v>
      </c>
      <c r="B13" s="8">
        <f>[12]Table3s2!B12</f>
        <v>1287.0492380952401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1287.0492380952401</v>
      </c>
      <c r="I13" s="26">
        <v>0</v>
      </c>
      <c r="J13" s="25">
        <v>0</v>
      </c>
      <c r="K13" s="25">
        <v>0</v>
      </c>
      <c r="L13" s="11">
        <f t="shared" si="0"/>
        <v>1287.0492380952401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25">
        <v>0</v>
      </c>
      <c r="Z13" s="25">
        <v>0</v>
      </c>
      <c r="AA13" s="25">
        <v>0</v>
      </c>
    </row>
    <row r="14" spans="1:27" x14ac:dyDescent="0.35">
      <c r="A14" s="4" t="s">
        <v>17</v>
      </c>
      <c r="B14" s="8" t="str">
        <f>[12]Table3s2!B13</f>
        <v>NO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25">
        <v>0</v>
      </c>
      <c r="Z14" s="25">
        <v>0</v>
      </c>
      <c r="AA14" s="25">
        <v>0</v>
      </c>
    </row>
    <row r="15" spans="1:27" x14ac:dyDescent="0.35">
      <c r="A15" s="4" t="s">
        <v>18</v>
      </c>
      <c r="B15" s="8" t="str">
        <f>[12]Table3s2!B14</f>
        <v>NO</v>
      </c>
      <c r="C15" s="14" t="str">
        <f>[12]Table3s2!C14</f>
        <v>NO</v>
      </c>
      <c r="D15" s="14" t="str">
        <f>[12]Table3s2!D14</f>
        <v>NO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25">
        <v>0</v>
      </c>
      <c r="Z15" s="25">
        <v>0</v>
      </c>
      <c r="AA15" s="25">
        <v>0</v>
      </c>
    </row>
    <row r="16" spans="1:27" x14ac:dyDescent="0.35">
      <c r="A16" s="28" t="s">
        <v>8</v>
      </c>
      <c r="B16" s="29">
        <f>[12]Table4!$B$11</f>
        <v>17655.22430734368</v>
      </c>
      <c r="C16" s="29">
        <f>[12]Summary1.As2!$C$21</f>
        <v>4.6388073838999997</v>
      </c>
      <c r="D16" s="29">
        <f>[12]Summary1.As2!$D$21</f>
        <v>5.2470135654380003</v>
      </c>
      <c r="E16" s="30">
        <v>0</v>
      </c>
      <c r="F16" s="29">
        <f>[12]Summary2!$C$41</f>
        <v>115.97018459749999</v>
      </c>
      <c r="G16" s="29">
        <f>[12]Summary2!$D$41</f>
        <v>1563.6100425005241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19334.804534441704</v>
      </c>
      <c r="I16" s="32">
        <f>[12]Summary2!$J$41</f>
        <v>19334.804534441704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129.88660674919998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1390.4585948410702</v>
      </c>
      <c r="L16" s="11">
        <f t="shared" si="2"/>
        <v>19175.569508933953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13620.955994725311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4.6855977063747494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6.7392269958755708</v>
      </c>
      <c r="P16" s="31">
        <f>N16*'GWP CFs'!$B$3</f>
        <v>131.19673577849298</v>
      </c>
      <c r="Q16" s="31">
        <f>O16*'GWP CFs'!$B$4</f>
        <v>1785.8951539070263</v>
      </c>
      <c r="R16" s="33">
        <f>M16+P16+Q16</f>
        <v>15538.047884410829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13620.956127089667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4.6855979624999993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6.7392270856999996</v>
      </c>
      <c r="V16" s="31">
        <f>T16*'GWP CFs'!$B$3</f>
        <v>131.19674294999999</v>
      </c>
      <c r="W16" s="31">
        <f>U16*'GWP CFs'!$B$4</f>
        <v>1785.8951777104999</v>
      </c>
      <c r="X16" s="33">
        <f>S16+V16+W16</f>
        <v>15538.048047750166</v>
      </c>
      <c r="Y16" s="29">
        <f>[12]Table4.B!$C$10</f>
        <v>18165.760929662902</v>
      </c>
      <c r="Z16" s="34">
        <v>0</v>
      </c>
      <c r="AA16" s="30">
        <v>0</v>
      </c>
    </row>
    <row r="17" spans="1:30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11199.460550589667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5.0959640356999998</v>
      </c>
      <c r="E17" s="9">
        <f>[12]Table4.B!$P$10</f>
        <v>-3054.398331979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1518.5972826385998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12718.057833228268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1350.4304694605</v>
      </c>
      <c r="L17" s="11">
        <f t="shared" si="2"/>
        <v>12549.891020050167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[12]Table4.B!$D$10</f>
        <v>18085.321484059899</v>
      </c>
      <c r="Z17" s="25">
        <v>0</v>
      </c>
      <c r="AA17" s="26">
        <v>0</v>
      </c>
    </row>
    <row r="18" spans="1:30" x14ac:dyDescent="0.35">
      <c r="A18" s="22" t="s">
        <v>44</v>
      </c>
      <c r="B18" s="12">
        <v>0</v>
      </c>
      <c r="C18" s="21">
        <v>0</v>
      </c>
      <c r="D18" s="48">
        <f>'[12]Table4(III)'!$D$13</f>
        <v>5.0959640356999998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1518.5972826385998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1518.5972826385998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1350.4304694605</v>
      </c>
      <c r="L18" s="11">
        <f t="shared" si="2"/>
        <v>1350.4304694605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'[12]Table4(III)'!$B$13</f>
        <v>3609.0871341000002</v>
      </c>
      <c r="Z18" s="25">
        <v>0</v>
      </c>
      <c r="AA18" s="26">
        <v>0</v>
      </c>
    </row>
    <row r="19" spans="1:30" x14ac:dyDescent="0.35">
      <c r="A19" s="6" t="s">
        <v>45</v>
      </c>
      <c r="B19" s="49" t="str">
        <f>'[12]Table4(II)'!$G$22</f>
        <v>NO,NA</v>
      </c>
      <c r="C19" s="48" t="str">
        <f>'[12]Table4(II)'!$I$22</f>
        <v>NO,NA</v>
      </c>
      <c r="D19" s="48" t="str">
        <f>'[12]Table4(II)'!$H$22</f>
        <v>NA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>
        <f>'[12]Table4(II)'!$C$22</f>
        <v>18085.321484</v>
      </c>
      <c r="Z19" s="25">
        <v>0</v>
      </c>
      <c r="AA19" s="26">
        <v>0</v>
      </c>
    </row>
    <row r="20" spans="1:30" x14ac:dyDescent="0.35">
      <c r="A20" s="6" t="s">
        <v>24</v>
      </c>
      <c r="B20" s="49">
        <f>'[13]Table4(II)'!$G$17</f>
        <v>2423.1123920999999</v>
      </c>
      <c r="C20" s="48">
        <f>'[12]Table4(II)'!$I$18</f>
        <v>1.1130000000000001E-3</v>
      </c>
      <c r="D20" s="25">
        <v>0</v>
      </c>
      <c r="E20" s="9" t="str">
        <f>[12]Table4.B!$Q$10</f>
        <v>NO,IE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2.7825000000000003E-2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2423.1402171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3.1164000000000001E-2</v>
      </c>
      <c r="K20" s="25">
        <v>0</v>
      </c>
      <c r="L20" s="11">
        <f t="shared" si="2"/>
        <v>2423.1435560999998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B$3*44/12</f>
        <v>2421.4954441356435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E$3*44/28000</f>
        <v>1.6432629601755715</v>
      </c>
      <c r="P20" s="7">
        <f>N20*'GWP CFs'!$B$3</f>
        <v>0</v>
      </c>
      <c r="Q20" s="18">
        <f>O20*'GWP CFs'!$B$4</f>
        <v>435.46468444652646</v>
      </c>
      <c r="R20" s="11">
        <f>M20+P20+Q20</f>
        <v>2856.96012858217</v>
      </c>
      <c r="S20" s="18">
        <f>AA20*EFs!$B$3*44/12</f>
        <v>2421.4955765</v>
      </c>
      <c r="T20" s="18">
        <f>AA20*0.95*EFs!$C$3/1000</f>
        <v>0</v>
      </c>
      <c r="U20" s="11">
        <f>AA20*EFs!$E$3*44/28000</f>
        <v>1.6432630499999998</v>
      </c>
      <c r="V20" s="18">
        <f>T20*'GWP CFs'!$B$3</f>
        <v>0</v>
      </c>
      <c r="W20" s="18">
        <f>U20*'GWP CFs'!$B$4</f>
        <v>435.46470824999994</v>
      </c>
      <c r="X20" s="11">
        <f>S20+V20+W20</f>
        <v>2856.96028475</v>
      </c>
      <c r="Y20" s="14">
        <f>[12]Table4.B!$E$10</f>
        <v>80.439445602999996</v>
      </c>
      <c r="Z20" s="25">
        <v>0</v>
      </c>
      <c r="AA20" s="39">
        <v>80.439449999999994</v>
      </c>
    </row>
    <row r="21" spans="1:30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0.05*EFs!$D$3/1000</f>
        <v>4.6855977063747494</v>
      </c>
      <c r="O21" s="26">
        <v>0</v>
      </c>
      <c r="P21" s="7">
        <f>N21*'GWP CFs'!$B$3</f>
        <v>131.19673577849298</v>
      </c>
      <c r="Q21" s="25">
        <v>0</v>
      </c>
      <c r="R21" s="11">
        <f>M21+P21+Q21</f>
        <v>131.19673577849298</v>
      </c>
      <c r="S21" s="25">
        <v>0</v>
      </c>
      <c r="T21" s="18">
        <f>AA20*0.05*EFs!$D$3/1000</f>
        <v>4.6855979624999993</v>
      </c>
      <c r="U21" s="42">
        <v>0</v>
      </c>
      <c r="V21" s="18">
        <f>T21*'GWP CFs'!$B$3</f>
        <v>131.19674294999999</v>
      </c>
      <c r="W21" s="25">
        <v>0</v>
      </c>
      <c r="X21" s="11">
        <f>V21</f>
        <v>131.19674294999999</v>
      </c>
      <c r="Y21" s="25">
        <v>0</v>
      </c>
      <c r="Z21" s="25">
        <v>0</v>
      </c>
      <c r="AA21" s="26">
        <v>0</v>
      </c>
    </row>
    <row r="22" spans="1:30" x14ac:dyDescent="0.35">
      <c r="A22" s="28" t="s">
        <v>7</v>
      </c>
      <c r="B22" s="29">
        <f>[12]Table4!$B$14</f>
        <v>-7757.9584269530078</v>
      </c>
      <c r="C22" s="29">
        <f>[12]Summary1.As2!$C$22</f>
        <v>6.7330609111999999</v>
      </c>
      <c r="D22" s="29">
        <f>[12]Summary1.As2!$D$22</f>
        <v>0.33421013145790002</v>
      </c>
      <c r="E22" s="30">
        <v>0</v>
      </c>
      <c r="F22" s="29">
        <f>[12]Summary2!$C$42</f>
        <v>168.32652278</v>
      </c>
      <c r="G22" s="29">
        <f>[12]Summary2!$D$42</f>
        <v>99.594619174454195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-7490.0372849985533</v>
      </c>
      <c r="I22" s="32">
        <f>[12]Summary2!$J$42</f>
        <v>-7490.0372849985533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188.5257055136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88.565684836343507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-7480.8670366030647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-7508.5403153798388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3.8979905579720002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0.78028394987588579</v>
      </c>
      <c r="P22" s="31">
        <f>N22*'GWP CFs'!$B$3</f>
        <v>109.143735623216</v>
      </c>
      <c r="Q22" s="31">
        <f>O22*'GWP CFs'!$B$4</f>
        <v>206.77524671710972</v>
      </c>
      <c r="R22" s="33">
        <f>M22+P22+Q22</f>
        <v>-7192.621333039513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-7508.5403234893329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3.8979905334999998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0.78028394588571426</v>
      </c>
      <c r="V22" s="31">
        <f>T22*'GWP CFs'!$B$3</f>
        <v>109.14373493799999</v>
      </c>
      <c r="W22" s="31">
        <f>U22*'GWP CFs'!$B$4</f>
        <v>206.77524565971427</v>
      </c>
      <c r="X22" s="33">
        <f>S22+V22+W22</f>
        <v>-7192.621342891618</v>
      </c>
      <c r="Y22" s="29">
        <f>[12]Table4.C!$C$10</f>
        <v>15154.405387033999</v>
      </c>
      <c r="Z22" s="34">
        <v>0</v>
      </c>
      <c r="AA22" s="30">
        <v>0</v>
      </c>
    </row>
    <row r="23" spans="1:30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-8800.2503694526658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0.1447147053</v>
      </c>
      <c r="E23" s="9">
        <f>[12]Table4.C!$P$10</f>
        <v>2400.068282578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43.1249821794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-8757.125387273265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38.349396904499997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-8761.9009725481665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[12]Table4.C!$D$10</f>
        <v>15095.788987665999</v>
      </c>
      <c r="Z23" s="25">
        <v>0</v>
      </c>
      <c r="AA23" s="26">
        <v>0</v>
      </c>
      <c r="AD23" s="82">
        <f>U20+U26</f>
        <v>2.2788322905857141</v>
      </c>
    </row>
    <row r="24" spans="1:30" x14ac:dyDescent="0.35">
      <c r="A24" s="22" t="s">
        <v>44</v>
      </c>
      <c r="B24" s="25">
        <v>0</v>
      </c>
      <c r="C24" s="25">
        <v>0</v>
      </c>
      <c r="D24" s="48">
        <f>'[12]Table4(III)'!$D$15</f>
        <v>0.1447147053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43.1249821794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43.1249821794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38.349396904499997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38.349396904499997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>
        <f>'[12]Table4(III)'!$B$15</f>
        <v>15154.4053876</v>
      </c>
      <c r="Z24" s="25">
        <v>0</v>
      </c>
      <c r="AA24" s="26">
        <v>0</v>
      </c>
    </row>
    <row r="25" spans="1:30" x14ac:dyDescent="0.35">
      <c r="A25" s="6" t="s">
        <v>45</v>
      </c>
      <c r="B25" s="49" t="str">
        <f>'[12]Table4(II)'!$G$30</f>
        <v>NO,NA</v>
      </c>
      <c r="C25" s="48" t="str">
        <f>'[12]Table4(II)'!$I$30</f>
        <v>NO,NA</v>
      </c>
      <c r="D25" s="48" t="str">
        <f>'[12]Table4(II)'!$H$30</f>
        <v>NA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>
        <f>'[12]Table4(II)'!$C$30</f>
        <v>15095.788988</v>
      </c>
      <c r="Z25" s="25">
        <v>0</v>
      </c>
      <c r="AA25" s="26">
        <v>0</v>
      </c>
    </row>
    <row r="26" spans="1:30" x14ac:dyDescent="0.35">
      <c r="A26" s="6" t="s">
        <v>24</v>
      </c>
      <c r="B26" s="49">
        <f>'[13]Table4(II)'!$G$25</f>
        <v>842.53056247999996</v>
      </c>
      <c r="C26" s="48">
        <f>'[12]Table4(II)'!$I$26</f>
        <v>2.2809515754</v>
      </c>
      <c r="D26" s="25">
        <v>0</v>
      </c>
      <c r="E26" s="9" t="str">
        <f>[12]Table4.C!$Q$10</f>
        <v>NO,IE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57.023789385000001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899.55435186499994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63.866644111200003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906.39720659119996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$5*44/12</f>
        <v>1291.7100540728268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$5/1000</f>
        <v>0.94665484979320003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$5*44/28000</f>
        <v>0.63556924457588582</v>
      </c>
      <c r="P26" s="7">
        <f>N26*'GWP CFs'!$B$3</f>
        <v>26.506335794209601</v>
      </c>
      <c r="Q26" s="7">
        <f>O26*'GWP CFs'!$B$4</f>
        <v>168.42584981260975</v>
      </c>
      <c r="R26" s="11">
        <f>M26+P26+Q26</f>
        <v>1486.6422396796463</v>
      </c>
      <c r="S26" s="18">
        <f>AA26*EFs!$B$5*44/12</f>
        <v>1291.7100459633332</v>
      </c>
      <c r="T26" s="18">
        <f>AA26*0.95*EFs!$C$5/1000</f>
        <v>0.94665484384999998</v>
      </c>
      <c r="U26" s="11">
        <f>AA26*EFs!$E$5*44/28000</f>
        <v>0.63556924058571429</v>
      </c>
      <c r="V26" s="18">
        <f>T26*'GWP CFs'!$B$3</f>
        <v>26.506335627799999</v>
      </c>
      <c r="W26" s="18">
        <f>U26*'GWP CFs'!$B$4</f>
        <v>168.42584875521428</v>
      </c>
      <c r="X26" s="11">
        <f>S26+V26+W26</f>
        <v>1486.6422303463473</v>
      </c>
      <c r="Y26" s="14">
        <f>[12]Table4.C!$E$10</f>
        <v>58.616399368000003</v>
      </c>
      <c r="Z26" s="25">
        <v>0</v>
      </c>
      <c r="AA26" s="39">
        <v>58.616399000000001</v>
      </c>
    </row>
    <row r="27" spans="1:30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$5/1000</f>
        <v>2.9513357081788003</v>
      </c>
      <c r="O27" s="10">
        <v>0</v>
      </c>
      <c r="P27" s="7">
        <f>N27*'GWP CFs'!$B$3</f>
        <v>82.637399829006412</v>
      </c>
      <c r="Q27" s="21">
        <v>0</v>
      </c>
      <c r="R27" s="11">
        <f>P27</f>
        <v>82.637399829006412</v>
      </c>
      <c r="S27" s="25">
        <v>0</v>
      </c>
      <c r="T27" s="18">
        <f>AA26*0.05*EFs!$D$5/1000</f>
        <v>2.95133568965</v>
      </c>
      <c r="U27" s="26">
        <v>0</v>
      </c>
      <c r="V27" s="18">
        <f>T27*'GWP CFs'!$B$3</f>
        <v>82.637399310199996</v>
      </c>
      <c r="W27" s="25">
        <v>0</v>
      </c>
      <c r="X27" s="11">
        <f>V27</f>
        <v>82.637399310199996</v>
      </c>
      <c r="Y27" s="25">
        <v>0</v>
      </c>
      <c r="Z27" s="25">
        <v>0</v>
      </c>
      <c r="AA27" s="26">
        <v>0</v>
      </c>
    </row>
    <row r="28" spans="1:30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0</v>
      </c>
      <c r="T28" s="31">
        <f>T29+T30</f>
        <v>0</v>
      </c>
      <c r="U28" s="33">
        <f>U29</f>
        <v>0</v>
      </c>
      <c r="V28" s="31">
        <f>V29+V30</f>
        <v>0</v>
      </c>
      <c r="W28" s="31">
        <f>W29</f>
        <v>0</v>
      </c>
      <c r="X28" s="33">
        <f>X29+X30</f>
        <v>0</v>
      </c>
      <c r="Y28" s="34">
        <v>0</v>
      </c>
      <c r="Z28" s="34">
        <v>0</v>
      </c>
      <c r="AA28" s="30">
        <v>0</v>
      </c>
    </row>
    <row r="29" spans="1:30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0</v>
      </c>
      <c r="T29" s="18">
        <f>AA29*0.95*EFs!$C$9/1000</f>
        <v>0</v>
      </c>
      <c r="U29" s="11">
        <f>AA29*EFs!$E$9*44/28000</f>
        <v>0</v>
      </c>
      <c r="V29" s="18">
        <f>T29*'GWP CFs'!$B$3</f>
        <v>0</v>
      </c>
      <c r="W29" s="18">
        <f>U29*'GWP CFs'!$B$4</f>
        <v>0</v>
      </c>
      <c r="X29" s="11">
        <f>S29+V29+W29</f>
        <v>0</v>
      </c>
      <c r="Y29" s="25">
        <v>0</v>
      </c>
      <c r="Z29" s="25">
        <v>0</v>
      </c>
      <c r="AA29" s="39">
        <v>0</v>
      </c>
    </row>
    <row r="30" spans="1:30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0</v>
      </c>
      <c r="U30" s="42">
        <v>0</v>
      </c>
      <c r="V30" s="44">
        <f>T30*'GWP CFs'!$B$3</f>
        <v>0</v>
      </c>
      <c r="W30" s="90">
        <v>0</v>
      </c>
      <c r="X30" s="46">
        <f>V30</f>
        <v>0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zoomScale="60" zoomScaleNormal="60" workbookViewId="0">
      <selection activeCell="A30" sqref="A30:AA30"/>
    </sheetView>
  </sheetViews>
  <sheetFormatPr baseColWidth="10" defaultRowHeight="14.5" x14ac:dyDescent="0.35"/>
  <cols>
    <col min="1" max="1" width="47.7265625" customWidth="1"/>
  </cols>
  <sheetData>
    <row r="1" spans="1:29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9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2" t="s">
        <v>19</v>
      </c>
      <c r="Z2" s="2" t="s">
        <v>20</v>
      </c>
      <c r="AA2" s="3" t="s">
        <v>43</v>
      </c>
    </row>
    <row r="3" spans="1:29" x14ac:dyDescent="0.35">
      <c r="A3" s="5" t="s">
        <v>41</v>
      </c>
      <c r="B3" s="8">
        <f>[14]Summary1.As1!$B$7</f>
        <v>369249.13012006145</v>
      </c>
      <c r="C3" s="8">
        <f>[14]Summary1.As1!$C$7</f>
        <v>2078.8613789526717</v>
      </c>
      <c r="D3" s="14">
        <f>[14]Summary1.As1!$D$7</f>
        <v>69.822819924531586</v>
      </c>
      <c r="E3" s="26">
        <v>0</v>
      </c>
      <c r="F3" s="8">
        <f>[14]Summary2!C7</f>
        <v>51971.534473816784</v>
      </c>
      <c r="G3" s="8">
        <f>[14]Summary2!D7</f>
        <v>20807.20033751041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442027.86493138864</v>
      </c>
      <c r="I3" s="9">
        <f>[14]Summary2!$J$7</f>
        <v>455963.87220613268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58208.118610674806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18503.047280000872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445960.29601073713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9" x14ac:dyDescent="0.35">
      <c r="A4" s="28" t="s">
        <v>0</v>
      </c>
      <c r="B4" s="29">
        <f>[14]Summary1.As2!$B$8</f>
        <v>1269.4751266793701</v>
      </c>
      <c r="C4" s="29">
        <f>[14]Summary1.As2!$C$8</f>
        <v>1022.9687016335077</v>
      </c>
      <c r="D4" s="29">
        <f>[14]Summary1.As2!$D$8</f>
        <v>48.038770576979203</v>
      </c>
      <c r="E4" s="30">
        <v>0</v>
      </c>
      <c r="F4" s="29">
        <f>[14]Summary2!$C$28</f>
        <v>25574.217540837693</v>
      </c>
      <c r="G4" s="29">
        <f>[14]Summary2!$D$28</f>
        <v>14315.553631939802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41159.246299456863</v>
      </c>
      <c r="I4" s="32">
        <f>[14]Summary2!$J$28</f>
        <v>41159.246299456863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28643.123645738218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12730.274202899489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42642.872975317077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25">
        <v>0</v>
      </c>
      <c r="Z4" s="25">
        <v>0</v>
      </c>
      <c r="AA4" s="25">
        <v>0</v>
      </c>
    </row>
    <row r="5" spans="1:29" x14ac:dyDescent="0.35">
      <c r="A5" s="4" t="s">
        <v>9</v>
      </c>
      <c r="B5" s="24">
        <v>0</v>
      </c>
      <c r="C5" s="14">
        <f>[14]Summary1.As2!$C$9</f>
        <v>846.95159722240578</v>
      </c>
      <c r="D5" s="21">
        <v>0</v>
      </c>
      <c r="E5" s="26">
        <v>0</v>
      </c>
      <c r="F5" s="8">
        <f>[14]Summary2!$C$29</f>
        <v>21173.789930560142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21173.789930560142</v>
      </c>
      <c r="I5" s="14">
        <f>[14]Summary2!$J$29</f>
        <v>21173.789930560142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23714.644722227364</v>
      </c>
      <c r="K5" s="25">
        <v>0</v>
      </c>
      <c r="L5" s="11">
        <f t="shared" si="0"/>
        <v>23714.644722227364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25">
        <v>0</v>
      </c>
      <c r="Z5" s="25">
        <v>0</v>
      </c>
      <c r="AA5" s="25">
        <v>0</v>
      </c>
    </row>
    <row r="6" spans="1:29" x14ac:dyDescent="0.35">
      <c r="A6" s="4" t="s">
        <v>10</v>
      </c>
      <c r="B6" s="24">
        <v>0</v>
      </c>
      <c r="C6" s="14">
        <f>[14]Summary1.As2!$C$10</f>
        <v>168.04495664717621</v>
      </c>
      <c r="D6" s="14">
        <f>[14]Summary1.As2!$D$10</f>
        <v>9.4028126155681093</v>
      </c>
      <c r="E6" s="26">
        <v>0</v>
      </c>
      <c r="F6" s="8">
        <f>[14]Summary2!C30</f>
        <v>4201.1239161794056</v>
      </c>
      <c r="G6" s="14">
        <f>[14]Summary2!D30</f>
        <v>2802.0381594392966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7003.1620756187021</v>
      </c>
      <c r="I6" s="14">
        <f>[14]Summary2!$J$30</f>
        <v>7003.1620756187021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4705.258786120934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2491.745343125549</v>
      </c>
      <c r="L6" s="11">
        <f t="shared" si="0"/>
        <v>7197.004129246483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25">
        <v>0</v>
      </c>
      <c r="Z6" s="25">
        <v>0</v>
      </c>
      <c r="AA6" s="25">
        <v>0</v>
      </c>
    </row>
    <row r="7" spans="1:29" x14ac:dyDescent="0.35">
      <c r="A7" s="4" t="s">
        <v>11</v>
      </c>
      <c r="B7" s="24">
        <v>0</v>
      </c>
      <c r="C7" s="14" t="str">
        <f>[14]Table3s2!$C$7</f>
        <v>NO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0</v>
      </c>
      <c r="G7" s="25">
        <v>0</v>
      </c>
      <c r="H7" s="7">
        <f t="shared" si="1"/>
        <v>0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0</v>
      </c>
      <c r="K7" s="25">
        <v>0</v>
      </c>
      <c r="L7" s="11">
        <f t="shared" si="0"/>
        <v>0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25">
        <v>0</v>
      </c>
      <c r="Z7" s="25">
        <v>0</v>
      </c>
      <c r="AA7" s="25">
        <v>0</v>
      </c>
    </row>
    <row r="8" spans="1:29" x14ac:dyDescent="0.35">
      <c r="A8" s="4" t="s">
        <v>12</v>
      </c>
      <c r="B8" s="24">
        <v>0</v>
      </c>
      <c r="C8" s="14" t="str">
        <f>[14]Summary1.As2!$C$12</f>
        <v>NE</v>
      </c>
      <c r="D8" s="14">
        <f>[14]Summary1.As2!$D$12</f>
        <v>38.234029416669237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[14]Summary2!$D$32</f>
        <v>11393.740766167433</v>
      </c>
      <c r="H8" s="7">
        <f t="shared" si="1"/>
        <v>11393.740766167433</v>
      </c>
      <c r="I8" s="9">
        <f>[14]Summary2!$J$32</f>
        <v>11393.740766167433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10132.017795417349</v>
      </c>
      <c r="L8" s="11">
        <f t="shared" si="0"/>
        <v>10132.017795417349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25">
        <v>0</v>
      </c>
      <c r="Z8" s="25">
        <v>0</v>
      </c>
      <c r="AA8" s="25">
        <v>0</v>
      </c>
    </row>
    <row r="9" spans="1:29" x14ac:dyDescent="0.35">
      <c r="A9" s="4" t="s">
        <v>42</v>
      </c>
      <c r="B9" s="24">
        <v>0</v>
      </c>
      <c r="C9" s="21">
        <v>0</v>
      </c>
      <c r="D9" s="14">
        <f>[14]Table3.D!$E$17</f>
        <v>3.59165714285714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1070.3138285714276</v>
      </c>
      <c r="H9" s="7">
        <f t="shared" si="1"/>
        <v>1070.3138285714276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951.78914285714211</v>
      </c>
      <c r="L9" s="11">
        <f t="shared" si="0"/>
        <v>951.78914285714211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8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285.70000000000005</v>
      </c>
      <c r="Z9" s="14">
        <f>[14]Table3.D!$C$17</f>
        <v>285700.00000000006</v>
      </c>
      <c r="AA9" s="25">
        <v>0</v>
      </c>
    </row>
    <row r="10" spans="1:29" x14ac:dyDescent="0.35">
      <c r="A10" s="4" t="s">
        <v>13</v>
      </c>
      <c r="B10" s="24">
        <v>0</v>
      </c>
      <c r="C10" s="14" t="str">
        <f>[14]Table3s2!C9</f>
        <v>NO</v>
      </c>
      <c r="D10" s="14" t="str">
        <f>[14]Table3s2!D9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25">
        <v>0</v>
      </c>
      <c r="Z10" s="25">
        <v>0</v>
      </c>
      <c r="AA10" s="25">
        <v>0</v>
      </c>
    </row>
    <row r="11" spans="1:29" x14ac:dyDescent="0.35">
      <c r="A11" s="4" t="s">
        <v>14</v>
      </c>
      <c r="B11" s="24">
        <v>0</v>
      </c>
      <c r="C11" s="14" t="str">
        <f>[14]Table3s2!C10</f>
        <v>NO</v>
      </c>
      <c r="D11" s="14" t="str">
        <f>[14]Table3s2!D10</f>
        <v>NO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0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0</v>
      </c>
      <c r="H11" s="7">
        <f t="shared" si="1"/>
        <v>0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0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0</v>
      </c>
      <c r="L11" s="11">
        <f t="shared" si="0"/>
        <v>0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25">
        <v>0</v>
      </c>
      <c r="Z11" s="25">
        <v>0</v>
      </c>
      <c r="AA11" s="25">
        <v>0</v>
      </c>
    </row>
    <row r="12" spans="1:29" x14ac:dyDescent="0.35">
      <c r="A12" s="4" t="s">
        <v>15</v>
      </c>
      <c r="B12" s="8">
        <f>[14]Table3s2!B11</f>
        <v>926.6728869663466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926.6728869663466</v>
      </c>
      <c r="I12" s="26">
        <v>0</v>
      </c>
      <c r="J12" s="25">
        <v>0</v>
      </c>
      <c r="K12" s="25">
        <v>0</v>
      </c>
      <c r="L12" s="11">
        <f t="shared" si="0"/>
        <v>926.6728869663466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25">
        <v>0</v>
      </c>
      <c r="Z12" s="25">
        <v>0</v>
      </c>
      <c r="AA12" s="25">
        <v>0</v>
      </c>
    </row>
    <row r="13" spans="1:29" x14ac:dyDescent="0.35">
      <c r="A13" s="4" t="s">
        <v>16</v>
      </c>
      <c r="B13" s="8">
        <f>[14]Table3s2!B12</f>
        <v>339.63706355694774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339.63706355694774</v>
      </c>
      <c r="I13" s="26">
        <v>0</v>
      </c>
      <c r="J13" s="25">
        <v>0</v>
      </c>
      <c r="K13" s="25">
        <v>0</v>
      </c>
      <c r="L13" s="11">
        <f t="shared" si="0"/>
        <v>339.63706355694774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25">
        <v>0</v>
      </c>
      <c r="Z13" s="25">
        <v>0</v>
      </c>
      <c r="AA13" s="25">
        <v>0</v>
      </c>
    </row>
    <row r="14" spans="1:29" x14ac:dyDescent="0.35">
      <c r="A14" s="4" t="s">
        <v>17</v>
      </c>
      <c r="B14" s="8" t="str">
        <f>[14]Table3s2!B13</f>
        <v/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25">
        <v>0</v>
      </c>
      <c r="Z14" s="25">
        <v>0</v>
      </c>
      <c r="AA14" s="25">
        <v>0</v>
      </c>
    </row>
    <row r="15" spans="1:29" x14ac:dyDescent="0.35">
      <c r="A15" s="4" t="s">
        <v>18</v>
      </c>
      <c r="B15" s="8">
        <f>[14]Table3s2!B14</f>
        <v>3.16517615607586</v>
      </c>
      <c r="C15" s="14">
        <f>[14]Table3s2!C14</f>
        <v>7.97214776392582</v>
      </c>
      <c r="D15" s="14">
        <f>[14]Table3s2!D14</f>
        <v>0.40192854474185002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199.30369409814551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119.77470633307131</v>
      </c>
      <c r="H15" s="7">
        <f t="shared" si="1"/>
        <v>322.24357658729269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223.22013738992297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106.51106435659025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332.89637790258905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25">
        <v>0</v>
      </c>
      <c r="Z15" s="25">
        <v>0</v>
      </c>
      <c r="AA15" s="25">
        <v>0</v>
      </c>
      <c r="AC15" s="82"/>
    </row>
    <row r="16" spans="1:29" x14ac:dyDescent="0.35">
      <c r="A16" s="28" t="s">
        <v>8</v>
      </c>
      <c r="B16" s="29">
        <f>[14]Table4!$B$11</f>
        <v>11080.326401250075</v>
      </c>
      <c r="C16" s="29">
        <f>[14]Summary1.As2!$C$21</f>
        <v>7.5600000000000005E-4</v>
      </c>
      <c r="D16" s="29">
        <f>[14]Summary1.As2!$D$21</f>
        <v>1.51014283930229</v>
      </c>
      <c r="E16" s="30">
        <v>0</v>
      </c>
      <c r="F16" s="29">
        <f>[14]Summary2!$C$41</f>
        <v>1.89E-2</v>
      </c>
      <c r="G16" s="29">
        <f>[14]Summary2!$D$41</f>
        <v>450.02256611208242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11530.367867362156</v>
      </c>
      <c r="I16" s="32">
        <f>[14]Summary2!$J$41</f>
        <v>11530.367867362158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2.1168000000000003E-2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400.18785241510682</v>
      </c>
      <c r="L16" s="11">
        <f t="shared" si="2"/>
        <v>11480.535421665181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12228.218639646977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5.5424816000000012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4.3201507107308617</v>
      </c>
      <c r="P16" s="31">
        <f>N16*'GWP CFs'!$B$3</f>
        <v>155.18948480000003</v>
      </c>
      <c r="Q16" s="31">
        <f>O16*'GWP CFs'!$B$4</f>
        <v>1144.8399383436783</v>
      </c>
      <c r="R16" s="33">
        <f>M16+P16+Q16</f>
        <v>13528.248062790655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15006.750916313644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11.515939200000002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7.3486821821594344</v>
      </c>
      <c r="V16" s="31">
        <f>T16*'GWP CFs'!$B$3</f>
        <v>322.44629760000004</v>
      </c>
      <c r="W16" s="31">
        <f>U16*'GWP CFs'!$B$4</f>
        <v>1947.4007782722501</v>
      </c>
      <c r="X16" s="33">
        <f>S16+V16+W16</f>
        <v>17276.597992185893</v>
      </c>
      <c r="Y16" s="29">
        <f>[14]Table4.B!$C$10</f>
        <v>4691.8826290962388</v>
      </c>
      <c r="Z16" s="34">
        <v>0</v>
      </c>
      <c r="AA16" s="30">
        <v>0</v>
      </c>
    </row>
    <row r="17" spans="1:30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9650.1532963136433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1.5101232393022901</v>
      </c>
      <c r="E17" s="9">
        <f>[14]Table4.B!$P$10</f>
        <v>-2631.8599899037208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450.01672531208243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10100.170021625725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400.18265841510686</v>
      </c>
      <c r="L17" s="11">
        <f t="shared" si="2"/>
        <v>10050.335954728751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[14]Table4.B!$D$10</f>
        <v>4598.2596290962392</v>
      </c>
      <c r="Z17" s="25">
        <v>0</v>
      </c>
      <c r="AA17" s="26">
        <v>0</v>
      </c>
    </row>
    <row r="18" spans="1:30" x14ac:dyDescent="0.35">
      <c r="A18" s="22" t="s">
        <v>44</v>
      </c>
      <c r="B18" s="12">
        <v>0</v>
      </c>
      <c r="C18" s="21">
        <v>0</v>
      </c>
      <c r="D18" s="48">
        <f>'[14]Table4(III)'!$D$18</f>
        <v>1.5101232393022901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450.01672531208243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450.01672531208243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400.18265841510686</v>
      </c>
      <c r="L18" s="11">
        <f t="shared" si="2"/>
        <v>400.18265841510686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'[14]Table4(III)'!$B$18</f>
        <v>1085.8788050892099</v>
      </c>
      <c r="Z18" s="25">
        <v>0</v>
      </c>
      <c r="AA18" s="26">
        <v>0</v>
      </c>
    </row>
    <row r="19" spans="1:30" x14ac:dyDescent="0.35">
      <c r="A19" s="6" t="s">
        <v>45</v>
      </c>
      <c r="B19" s="49" t="str">
        <f>'[14]Table4(II)'!$G$43</f>
        <v>NO,NE,NA</v>
      </c>
      <c r="C19" s="48" t="str">
        <f>'[14]Table4(II)'!$I$43</f>
        <v>NO,NE,NA</v>
      </c>
      <c r="D19" s="48" t="str">
        <f>'[14]Table4(II)'!$H$43</f>
        <v>NA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'[14]Table4(II)'!$C$43</f>
        <v>NO,NE,NA</v>
      </c>
      <c r="Z19" s="25">
        <v>0</v>
      </c>
      <c r="AA19" s="26">
        <v>0</v>
      </c>
    </row>
    <row r="20" spans="1:30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1716.8735833333333</v>
      </c>
      <c r="C20" s="48" t="str">
        <f>'[14]Table4(II)'!$I$35</f>
        <v>NO,NE,NA</v>
      </c>
      <c r="D20" s="25">
        <v>0</v>
      </c>
      <c r="E20" s="9">
        <f>[14]Table4.B!$Q$10</f>
        <v>-468.23824999999999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0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1716.8735833333333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0</v>
      </c>
      <c r="K20" s="25">
        <v>0</v>
      </c>
      <c r="L20" s="11">
        <f t="shared" si="2"/>
        <v>1716.8735833333333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B$14*44/12</f>
        <v>2578.0653433333332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0.95*EFs!$C$14/1000</f>
        <v>8.8941850000000003E-2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E$14*44/28000</f>
        <v>2.8100274714285716</v>
      </c>
      <c r="P20" s="7">
        <f>N20*'GWP CFs'!$B$3</f>
        <v>2.4903718000000001</v>
      </c>
      <c r="Q20" s="18">
        <f>O20*'GWP CFs'!$B$4</f>
        <v>744.65727992857148</v>
      </c>
      <c r="R20" s="11">
        <f>M20+P20+Q20</f>
        <v>3325.2129950619046</v>
      </c>
      <c r="S20" s="18">
        <f>AA20*EFs!$B$14*44/12</f>
        <v>5356.5976200000005</v>
      </c>
      <c r="T20" s="18">
        <f>AA20*0.95*EFs!$C$14/1000</f>
        <v>0.18479970000000001</v>
      </c>
      <c r="U20" s="11">
        <f>AA20*EFs!$E$14*44/28000</f>
        <v>5.8385589428571443</v>
      </c>
      <c r="V20" s="18">
        <f>T20*'GWP CFs'!$B$3</f>
        <v>5.1743915999999999</v>
      </c>
      <c r="W20" s="18">
        <f>U20*'GWP CFs'!$B$4</f>
        <v>1547.2181198571432</v>
      </c>
      <c r="X20" s="11">
        <f>S20+V20+W20</f>
        <v>6908.9901314571434</v>
      </c>
      <c r="Y20" s="48">
        <f>[14]Table4.B!$E$10</f>
        <v>93.623000000000005</v>
      </c>
      <c r="Z20" s="25">
        <v>0</v>
      </c>
      <c r="AA20" s="39">
        <v>194.52600000000001</v>
      </c>
      <c r="AC20" s="82"/>
    </row>
    <row r="21" spans="1:30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0.05*EFs!$D$14/1000</f>
        <v>5.4535397500000009</v>
      </c>
      <c r="O21" s="26">
        <v>0</v>
      </c>
      <c r="P21" s="7">
        <f>N21*'GWP CFs'!$B$3</f>
        <v>152.69911300000001</v>
      </c>
      <c r="Q21" s="25">
        <v>0</v>
      </c>
      <c r="R21" s="11">
        <f>M21+P21+Q21</f>
        <v>152.69911300000001</v>
      </c>
      <c r="S21" s="25">
        <v>0</v>
      </c>
      <c r="T21" s="18">
        <f>AA20*0.05*EFs!$D$14/1000</f>
        <v>11.331139500000003</v>
      </c>
      <c r="U21" s="42">
        <v>0</v>
      </c>
      <c r="V21" s="18">
        <f>T21*'GWP CFs'!$B$3</f>
        <v>317.27190600000006</v>
      </c>
      <c r="W21" s="25">
        <v>0</v>
      </c>
      <c r="X21" s="11">
        <f>V21</f>
        <v>317.27190600000006</v>
      </c>
      <c r="Y21" s="25">
        <v>0</v>
      </c>
      <c r="Z21" s="25">
        <v>0</v>
      </c>
      <c r="AA21" s="26">
        <v>0</v>
      </c>
    </row>
    <row r="22" spans="1:30" x14ac:dyDescent="0.35">
      <c r="A22" s="28" t="s">
        <v>7</v>
      </c>
      <c r="B22" s="29">
        <f>[14]Table4!$B$14</f>
        <v>-9004.5454636158156</v>
      </c>
      <c r="C22" s="29">
        <f>[14]Summary1.As2!$C$22</f>
        <v>0.81556644207151996</v>
      </c>
      <c r="D22" s="29">
        <f>[14]Summary1.As2!$D$22</f>
        <v>0.78154180321317002</v>
      </c>
      <c r="E22" s="30">
        <v>0</v>
      </c>
      <c r="F22" s="29">
        <f>[14]Summary2!$C$42</f>
        <v>20.389161051788001</v>
      </c>
      <c r="G22" s="29">
        <f>[14]Summary2!$D$42</f>
        <v>232.89945735752465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-8751.2568452065025</v>
      </c>
      <c r="I22" s="32">
        <f>[14]Summary2!$J$42</f>
        <v>-8751.2568452065025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22.835860378002558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207.10857785149005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-8774.6010253863224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-8209.1428922507785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15.328563708561003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0.79643597790425491</v>
      </c>
      <c r="P22" s="31">
        <f>N22*'GWP CFs'!$B$3</f>
        <v>429.19978383970806</v>
      </c>
      <c r="Q22" s="31">
        <f>O22*'GWP CFs'!$B$4</f>
        <v>211.05553414462756</v>
      </c>
      <c r="R22" s="33">
        <f>M22+P22+Q22</f>
        <v>-7568.8875742664422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-4475.4950390436888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43.551243984727805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2.1389085893205899</v>
      </c>
      <c r="V22" s="31">
        <f>T22*'GWP CFs'!$B$3</f>
        <v>1219.4348315723785</v>
      </c>
      <c r="W22" s="31">
        <f>U22*'GWP CFs'!$B$4</f>
        <v>566.81077616995628</v>
      </c>
      <c r="X22" s="33">
        <f>S22+V22+W22</f>
        <v>-2689.2494313013544</v>
      </c>
      <c r="Y22" s="29">
        <f>[14]Table4.C!$C$10</f>
        <v>15047.996933150975</v>
      </c>
      <c r="Z22" s="34">
        <v>0</v>
      </c>
      <c r="AA22" s="30">
        <v>0</v>
      </c>
      <c r="AD22" s="82"/>
    </row>
    <row r="23" spans="1:30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-10236.996321591689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6.729980976819E-2</v>
      </c>
      <c r="E23" s="9">
        <f>[14]Table4.C!$P$10</f>
        <v>2791.9080877068245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20.05534331092062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-10216.940978280769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17.834449588570351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-10219.161872003118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[14]Table4.C!$D$10</f>
        <v>13634.987689001791</v>
      </c>
      <c r="Z23" s="25">
        <v>0</v>
      </c>
      <c r="AA23" s="26">
        <v>0</v>
      </c>
    </row>
    <row r="24" spans="1:30" x14ac:dyDescent="0.35">
      <c r="A24" s="22" t="s">
        <v>44</v>
      </c>
      <c r="B24" s="25">
        <v>0</v>
      </c>
      <c r="C24" s="25">
        <v>0</v>
      </c>
      <c r="D24" s="48">
        <f>'[14]Table4(III)'!$D$22</f>
        <v>6.729980976819E-2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20.05534331092062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20.05534331092062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17.834449588570351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17.834449588570351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>
        <f>'[14]Table4(III)'!$B$22</f>
        <v>57.453671169461757</v>
      </c>
      <c r="Z24" s="25">
        <v>0</v>
      </c>
      <c r="AA24" s="26">
        <v>0</v>
      </c>
    </row>
    <row r="25" spans="1:30" x14ac:dyDescent="0.35">
      <c r="A25" s="6" t="s">
        <v>45</v>
      </c>
      <c r="B25" s="49" t="str">
        <f>'[14]Table4(II)'!$G$57</f>
        <v>NE,NA</v>
      </c>
      <c r="C25" s="48" t="str">
        <f>'[14]Table4(II)'!$I$57</f>
        <v>NE,NA</v>
      </c>
      <c r="D25" s="48" t="str">
        <f>'[14]Table4(II)'!$H$57</f>
        <v>NA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'[14]Table4(II)'!$C$57</f>
        <v>NE,NA</v>
      </c>
      <c r="Z25" s="25">
        <v>0</v>
      </c>
      <c r="AA25" s="26">
        <v>0</v>
      </c>
    </row>
    <row r="26" spans="1:30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182.66145713675215</v>
      </c>
      <c r="C26" s="48" t="str">
        <f>'[14]Table4(II)'!$I$49</f>
        <v>NE,NA</v>
      </c>
      <c r="D26" s="25">
        <v>0</v>
      </c>
      <c r="E26" s="9">
        <f>[14]Table4.C!$Q$10</f>
        <v>-49.81676103729604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0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182.66145713675215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0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182.66145713675215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$15*44/12</f>
        <v>2027.8534293409095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$15/1000</f>
        <v>7.9406814548894609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$15*44/28000</f>
        <v>0.72913616813606486</v>
      </c>
      <c r="P26" s="7">
        <f>N26*'GWP CFs'!$B$3</f>
        <v>222.33908073690492</v>
      </c>
      <c r="Q26" s="7">
        <f>O26*'GWP CFs'!$B$4</f>
        <v>193.22108455605718</v>
      </c>
      <c r="R26" s="11">
        <f>M26+P26+Q26</f>
        <v>2443.4135946338715</v>
      </c>
      <c r="S26" s="18">
        <f>AA26*EFs!$B$15*44/12</f>
        <v>5761.5012825479998</v>
      </c>
      <c r="T26" s="18">
        <f>AA26*0.95*EFs!$C$15/1000</f>
        <v>22.5609236469918</v>
      </c>
      <c r="U26" s="11">
        <f>AA26*EFs!$E$15*44/28000</f>
        <v>2.0716087795523999</v>
      </c>
      <c r="V26" s="18">
        <f>T26*'GWP CFs'!$B$3</f>
        <v>631.7058621157704</v>
      </c>
      <c r="W26" s="18">
        <f>U26*'GWP CFs'!$B$4</f>
        <v>548.97632658138593</v>
      </c>
      <c r="X26" s="11">
        <f>S26+V26+W26</f>
        <v>6942.1834712451564</v>
      </c>
      <c r="Y26" s="48">
        <f>[14]Table4.C!$E$12+[14]Table4.C!$E$24</f>
        <v>199.26704414918416</v>
      </c>
      <c r="Z26" s="25">
        <v>0</v>
      </c>
      <c r="AA26" s="39">
        <v>566.154</v>
      </c>
    </row>
    <row r="27" spans="1:30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$15/1000</f>
        <v>7.3878822536715418</v>
      </c>
      <c r="O27" s="10">
        <v>0</v>
      </c>
      <c r="P27" s="7">
        <f>N27*'GWP CFs'!$B$3</f>
        <v>206.86070310280317</v>
      </c>
      <c r="Q27" s="21">
        <v>0</v>
      </c>
      <c r="R27" s="11">
        <f>P27</f>
        <v>206.86070310280317</v>
      </c>
      <c r="S27" s="25">
        <v>0</v>
      </c>
      <c r="T27" s="18">
        <f>AA26*0.05*EFs!$D$15/1000</f>
        <v>20.990320337736001</v>
      </c>
      <c r="U27" s="26">
        <v>0</v>
      </c>
      <c r="V27" s="18">
        <f>T27*'GWP CFs'!$B$3</f>
        <v>587.72896945660807</v>
      </c>
      <c r="W27" s="25">
        <v>0</v>
      </c>
      <c r="X27" s="11">
        <f>V27</f>
        <v>587.72896945660807</v>
      </c>
      <c r="Y27" s="25">
        <v>0</v>
      </c>
      <c r="Z27" s="25">
        <v>0</v>
      </c>
      <c r="AA27" s="26">
        <v>0</v>
      </c>
    </row>
    <row r="28" spans="1:30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0</v>
      </c>
      <c r="T28" s="31">
        <f>T29+T30</f>
        <v>0</v>
      </c>
      <c r="U28" s="33">
        <f>U29</f>
        <v>0</v>
      </c>
      <c r="V28" s="31">
        <f>V29+V30</f>
        <v>0</v>
      </c>
      <c r="W28" s="31">
        <f>W29</f>
        <v>0</v>
      </c>
      <c r="X28" s="33">
        <f>X29+X30</f>
        <v>0</v>
      </c>
      <c r="Y28" s="34">
        <v>0</v>
      </c>
      <c r="Z28" s="34">
        <v>0</v>
      </c>
      <c r="AA28" s="30">
        <v>0</v>
      </c>
    </row>
    <row r="29" spans="1:30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0</v>
      </c>
      <c r="T29" s="18">
        <f>AA29*0.95*EFs!$C$9/1000</f>
        <v>0</v>
      </c>
      <c r="U29" s="11">
        <f>AA29*EFs!$E$9*44/28000</f>
        <v>0</v>
      </c>
      <c r="V29" s="18">
        <f>T29*'GWP CFs'!$B$3</f>
        <v>0</v>
      </c>
      <c r="W29" s="18">
        <f>U29*'GWP CFs'!$B$4</f>
        <v>0</v>
      </c>
      <c r="X29" s="11">
        <f>S29+V29+W29</f>
        <v>0</v>
      </c>
      <c r="Y29" s="25">
        <v>0</v>
      </c>
      <c r="Z29" s="25">
        <v>0</v>
      </c>
      <c r="AA29" s="39">
        <v>0</v>
      </c>
    </row>
    <row r="30" spans="1:30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0</v>
      </c>
      <c r="U30" s="42">
        <v>0</v>
      </c>
      <c r="V30" s="44">
        <f>T30*'GWP CFs'!$B$3</f>
        <v>0</v>
      </c>
      <c r="W30" s="90">
        <v>0</v>
      </c>
      <c r="X30" s="46">
        <f>V30</f>
        <v>0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zoomScale="60" zoomScaleNormal="60" workbookViewId="0">
      <selection activeCell="A30" sqref="A30:AA30"/>
    </sheetView>
  </sheetViews>
  <sheetFormatPr baseColWidth="10" defaultRowHeight="14.5" x14ac:dyDescent="0.35"/>
  <cols>
    <col min="1" max="1" width="47.7265625" customWidth="1"/>
  </cols>
  <sheetData>
    <row r="1" spans="1:27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2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[15]Summary1.As1!$B$7</f>
        <v>68784.868798346462</v>
      </c>
      <c r="C3" s="8">
        <f>[15]Summary1.As1!$C$7</f>
        <v>404.41970178774653</v>
      </c>
      <c r="D3" s="14">
        <f>[15]Summary1.As1!$D$7</f>
        <v>14.43143037843252</v>
      </c>
      <c r="E3" s="26">
        <v>0</v>
      </c>
      <c r="F3" s="8">
        <f>[15]Summary2!C7</f>
        <v>10110.492544693663</v>
      </c>
      <c r="G3" s="8">
        <f>[15]Summary2!D7</f>
        <v>4300.5662527728909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83195.927595813017</v>
      </c>
      <c r="I3" s="9">
        <f>[15]Summary2!$J$7</f>
        <v>89243.765365951549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11323.751650056904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3824.3290502846176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83932.949498687987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[15]Summary1.As2!$B$8</f>
        <v>32.909558642201418</v>
      </c>
      <c r="C4" s="29">
        <f>[15]Summary1.As2!$C$8</f>
        <v>177.09525187495132</v>
      </c>
      <c r="D4" s="29">
        <f>[15]Summary1.As2!$D$8</f>
        <v>11.144990577753729</v>
      </c>
      <c r="E4" s="30">
        <v>0</v>
      </c>
      <c r="F4" s="29">
        <f>[15]Summary2!$C$28</f>
        <v>4427.381296873783</v>
      </c>
      <c r="G4" s="29">
        <f>[15]Summary2!$D$28</f>
        <v>3321.2071921706115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7781.4980476865967</v>
      </c>
      <c r="I4" s="32">
        <f>[15]Summary2!$J$28</f>
        <v>7781.4980476865958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4958.6670524986366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2953.4225031047381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7944.9991142455765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25">
        <v>0</v>
      </c>
      <c r="Z4" s="25">
        <v>0</v>
      </c>
      <c r="AA4" s="25">
        <v>0</v>
      </c>
    </row>
    <row r="5" spans="1:27" x14ac:dyDescent="0.35">
      <c r="A5" s="4" t="s">
        <v>9</v>
      </c>
      <c r="B5" s="24">
        <v>0</v>
      </c>
      <c r="C5" s="14">
        <f>[15]Summary1.As2!$C$9</f>
        <v>144.06778194419283</v>
      </c>
      <c r="D5" s="21">
        <v>0</v>
      </c>
      <c r="E5" s="26">
        <v>0</v>
      </c>
      <c r="F5" s="8">
        <f>[15]Summary2!$C$29</f>
        <v>3601.6945486048203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3601.6945486048203</v>
      </c>
      <c r="I5" s="14">
        <f>[15]Summary2!$J$29</f>
        <v>3601.6945486048203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4033.8978944373994</v>
      </c>
      <c r="K5" s="25">
        <v>0</v>
      </c>
      <c r="L5" s="11">
        <f t="shared" si="0"/>
        <v>4033.8978944373994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25">
        <v>0</v>
      </c>
      <c r="Z5" s="25">
        <v>0</v>
      </c>
      <c r="AA5" s="25">
        <v>0</v>
      </c>
    </row>
    <row r="6" spans="1:27" x14ac:dyDescent="0.35">
      <c r="A6" s="4" t="s">
        <v>10</v>
      </c>
      <c r="B6" s="24">
        <v>0</v>
      </c>
      <c r="C6" s="14">
        <f>[15]Summary1.As2!$C$10</f>
        <v>24.95307885472419</v>
      </c>
      <c r="D6" s="14">
        <f>[15]Summary1.As2!$D$10</f>
        <v>0.96230974952084003</v>
      </c>
      <c r="E6" s="26">
        <v>0</v>
      </c>
      <c r="F6" s="8">
        <f>[15]Summary2!C30</f>
        <v>623.82697136810475</v>
      </c>
      <c r="G6" s="14">
        <f>[15]Summary2!D30</f>
        <v>286.76830535721029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910.59527672531499</v>
      </c>
      <c r="I6" s="14">
        <f>[15]Summary2!$J$30</f>
        <v>910.5952767253151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698.68620793227728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255.01208362302262</v>
      </c>
      <c r="L6" s="11">
        <f t="shared" si="0"/>
        <v>953.69829155529987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25">
        <v>0</v>
      </c>
      <c r="Z6" s="25">
        <v>0</v>
      </c>
      <c r="AA6" s="25">
        <v>0</v>
      </c>
    </row>
    <row r="7" spans="1:27" x14ac:dyDescent="0.35">
      <c r="A7" s="4" t="s">
        <v>11</v>
      </c>
      <c r="B7" s="24">
        <v>0</v>
      </c>
      <c r="C7" s="14">
        <f>[15]Table3s2!$C$7</f>
        <v>6.88655142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172.16378549999999</v>
      </c>
      <c r="G7" s="25">
        <v>0</v>
      </c>
      <c r="H7" s="7">
        <f t="shared" si="1"/>
        <v>172.16378549999999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192.82343975999999</v>
      </c>
      <c r="K7" s="25">
        <v>0</v>
      </c>
      <c r="L7" s="11">
        <f t="shared" si="0"/>
        <v>192.82343975999999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25">
        <v>0</v>
      </c>
      <c r="Z7" s="25">
        <v>0</v>
      </c>
      <c r="AA7" s="25">
        <v>0</v>
      </c>
    </row>
    <row r="8" spans="1:27" x14ac:dyDescent="0.35">
      <c r="A8" s="4" t="s">
        <v>12</v>
      </c>
      <c r="B8" s="24">
        <v>0</v>
      </c>
      <c r="C8" s="14" t="str">
        <f>[15]Summary1.As2!$C$12</f>
        <v>NE</v>
      </c>
      <c r="D8" s="14">
        <f>[15]Summary1.As2!$D$12</f>
        <v>10.153293842321929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[15]Summary2!$D$32</f>
        <v>3025.6815650119352</v>
      </c>
      <c r="H8" s="7">
        <f t="shared" si="1"/>
        <v>3025.6815650119352</v>
      </c>
      <c r="I8" s="9">
        <f>[15]Summary2!$J$32</f>
        <v>3025.6815650119352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2690.6228682153114</v>
      </c>
      <c r="L8" s="11">
        <f t="shared" si="0"/>
        <v>2690.6228682153114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25">
        <v>0</v>
      </c>
      <c r="Z8" s="25">
        <v>0</v>
      </c>
      <c r="AA8" s="25">
        <v>0</v>
      </c>
    </row>
    <row r="9" spans="1:27" x14ac:dyDescent="0.35">
      <c r="A9" s="4" t="s">
        <v>42</v>
      </c>
      <c r="B9" s="24">
        <v>0</v>
      </c>
      <c r="C9" s="21">
        <v>0</v>
      </c>
      <c r="D9" s="14">
        <f>[15]Table3.D!$E$17</f>
        <v>8.378228571429E-2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24.967121142858421</v>
      </c>
      <c r="H9" s="7">
        <f t="shared" si="1"/>
        <v>24.967121142858421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22.202305714286851</v>
      </c>
      <c r="L9" s="11">
        <f t="shared" si="0"/>
        <v>22.202305714286851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8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6.6645000000000003</v>
      </c>
      <c r="Z9" s="14">
        <f>[15]Table3.D!$C$17</f>
        <v>6664.5</v>
      </c>
      <c r="AA9" s="25">
        <v>0</v>
      </c>
    </row>
    <row r="10" spans="1:27" x14ac:dyDescent="0.35">
      <c r="A10" s="4" t="s">
        <v>13</v>
      </c>
      <c r="B10" s="24">
        <v>0</v>
      </c>
      <c r="C10" s="14" t="str">
        <f>[15]Table3s2!C9</f>
        <v>NO</v>
      </c>
      <c r="D10" s="14" t="str">
        <f>[15]Table3s2!D9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25">
        <v>0</v>
      </c>
      <c r="Z10" s="25">
        <v>0</v>
      </c>
      <c r="AA10" s="25">
        <v>0</v>
      </c>
    </row>
    <row r="11" spans="1:27" x14ac:dyDescent="0.35">
      <c r="A11" s="4" t="s">
        <v>14</v>
      </c>
      <c r="B11" s="24">
        <v>0</v>
      </c>
      <c r="C11" s="14">
        <f>[15]Table3s2!C10</f>
        <v>1.1878396560343001</v>
      </c>
      <c r="D11" s="14">
        <f>[15]Table3s2!D10</f>
        <v>2.9386985910959999E-2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29.695991400857501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8.7573218014660803</v>
      </c>
      <c r="H11" s="7">
        <f t="shared" si="1"/>
        <v>38.453313202323585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33.259510368960406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7.7875512664043995</v>
      </c>
      <c r="L11" s="11">
        <f t="shared" si="0"/>
        <v>41.047061635364805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25">
        <v>0</v>
      </c>
      <c r="Z11" s="25">
        <v>0</v>
      </c>
      <c r="AA11" s="25">
        <v>0</v>
      </c>
    </row>
    <row r="12" spans="1:27" x14ac:dyDescent="0.35">
      <c r="A12" s="4" t="s">
        <v>15</v>
      </c>
      <c r="B12" s="8" t="str">
        <f>[15]Table3s2!B11</f>
        <v>NO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0</v>
      </c>
      <c r="I12" s="26">
        <v>0</v>
      </c>
      <c r="J12" s="25">
        <v>0</v>
      </c>
      <c r="K12" s="25">
        <v>0</v>
      </c>
      <c r="L12" s="11">
        <f t="shared" si="0"/>
        <v>0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25">
        <v>0</v>
      </c>
      <c r="Z12" s="25">
        <v>0</v>
      </c>
      <c r="AA12" s="25">
        <v>0</v>
      </c>
    </row>
    <row r="13" spans="1:27" x14ac:dyDescent="0.35">
      <c r="A13" s="4" t="s">
        <v>16</v>
      </c>
      <c r="B13" s="8">
        <f>[15]Table3s2!B12</f>
        <v>32.909558642201418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32.909558642201418</v>
      </c>
      <c r="I13" s="26">
        <v>0</v>
      </c>
      <c r="J13" s="25">
        <v>0</v>
      </c>
      <c r="K13" s="25">
        <v>0</v>
      </c>
      <c r="L13" s="11">
        <f t="shared" si="0"/>
        <v>32.909558642201418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25">
        <v>0</v>
      </c>
      <c r="Z13" s="25">
        <v>0</v>
      </c>
      <c r="AA13" s="25">
        <v>0</v>
      </c>
    </row>
    <row r="14" spans="1:27" x14ac:dyDescent="0.35">
      <c r="A14" s="4" t="s">
        <v>17</v>
      </c>
      <c r="B14" s="8" t="str">
        <f>[15]Table3s2!B13</f>
        <v>NO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25">
        <v>0</v>
      </c>
      <c r="Z14" s="25">
        <v>0</v>
      </c>
      <c r="AA14" s="25">
        <v>0</v>
      </c>
    </row>
    <row r="15" spans="1:27" x14ac:dyDescent="0.35">
      <c r="A15" s="4" t="s">
        <v>18</v>
      </c>
      <c r="B15" s="8" t="str">
        <f>[15]Table3s2!B14</f>
        <v/>
      </c>
      <c r="C15" s="14" t="str">
        <f>[15]Table3s2!C14</f>
        <v/>
      </c>
      <c r="D15" s="14" t="str">
        <f>[15]Table3s2!D14</f>
        <v/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25">
        <v>0</v>
      </c>
      <c r="Z15" s="25">
        <v>0</v>
      </c>
      <c r="AA15" s="25">
        <v>0</v>
      </c>
    </row>
    <row r="16" spans="1:27" x14ac:dyDescent="0.35">
      <c r="A16" s="28" t="s">
        <v>8</v>
      </c>
      <c r="B16" s="29">
        <f>[15]Table4!$B$11</f>
        <v>327.2937550150765</v>
      </c>
      <c r="C16" s="29" t="str">
        <f>[15]Summary1.As2!$C$21</f>
        <v>NO</v>
      </c>
      <c r="D16" s="29">
        <f>[15]Summary1.As2!$D$21</f>
        <v>4.08410170816E-3</v>
      </c>
      <c r="E16" s="30">
        <v>0</v>
      </c>
      <c r="F16" s="29" t="str">
        <f>[15]Summary2!$C$41</f>
        <v>NO</v>
      </c>
      <c r="G16" s="29">
        <f>[15]Summary2!$D$41</f>
        <v>1.2170623090316799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328.51081732410819</v>
      </c>
      <c r="I16" s="32">
        <f>[15]Summary2!$J$41</f>
        <v>328.51081732410819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0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1.0822869526623999</v>
      </c>
      <c r="L16" s="11">
        <f t="shared" si="2"/>
        <v>328.3760419677389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214.90669013396479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0.3882071250000001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0.14023031599387431</v>
      </c>
      <c r="P16" s="31">
        <f>N16*'GWP CFs'!$B$3</f>
        <v>10.869799500000003</v>
      </c>
      <c r="Q16" s="31">
        <f>O16*'GWP CFs'!$B$4</f>
        <v>37.161033738376695</v>
      </c>
      <c r="R16" s="33">
        <f>M16+P16+Q16</f>
        <v>262.9375233723415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214.90669013396479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0.3882071250000001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0.14023031599387431</v>
      </c>
      <c r="V16" s="31">
        <f>T16*'GWP CFs'!$B$3</f>
        <v>10.869799500000003</v>
      </c>
      <c r="W16" s="31">
        <f>U16*'GWP CFs'!$B$4</f>
        <v>37.161033738376695</v>
      </c>
      <c r="X16" s="33">
        <f>S16+V16+W16</f>
        <v>262.9375233723415</v>
      </c>
      <c r="Y16" s="29">
        <f>[15]Table4.B!$C$10</f>
        <v>3074.793571428575</v>
      </c>
      <c r="Z16" s="34">
        <v>0</v>
      </c>
      <c r="AA16" s="30">
        <v>0</v>
      </c>
    </row>
    <row r="17" spans="1:27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14.283025133964729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4.08410170816E-3</v>
      </c>
      <c r="E17" s="9">
        <f>[15]Table4.B!$P$10</f>
        <v>-3.8953704910812901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1.2170623090316799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15.50008744299641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1.0822869526623999</v>
      </c>
      <c r="L17" s="11">
        <f t="shared" si="2"/>
        <v>15.36531208662713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[15]Table4.B!$D$10</f>
        <v>3068.1290714285751</v>
      </c>
      <c r="Z17" s="25">
        <v>0</v>
      </c>
      <c r="AA17" s="26">
        <v>0</v>
      </c>
    </row>
    <row r="18" spans="1:27" x14ac:dyDescent="0.35">
      <c r="A18" s="22" t="s">
        <v>44</v>
      </c>
      <c r="B18" s="12">
        <v>0</v>
      </c>
      <c r="C18" s="21">
        <v>0</v>
      </c>
      <c r="D18" s="48">
        <f>'[15]Table4(III)'!$D$13</f>
        <v>4.08410170816E-3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1.2170623090316799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1.2170623090316799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1.0822869526623999</v>
      </c>
      <c r="L18" s="11">
        <f t="shared" si="2"/>
        <v>1.0822869526623999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'[15]Table4(III)'!$B$13</f>
        <v>5.4665718999250004</v>
      </c>
      <c r="Z18" s="25">
        <v>0</v>
      </c>
      <c r="AA18" s="26">
        <v>0</v>
      </c>
    </row>
    <row r="19" spans="1:27" x14ac:dyDescent="0.35">
      <c r="A19" s="6" t="s">
        <v>45</v>
      </c>
      <c r="B19" s="49" t="str">
        <f>'[15]Table4(II)'!$G$30</f>
        <v>NO</v>
      </c>
      <c r="C19" s="48" t="str">
        <f>'[15]Table4(II)'!$I$30</f>
        <v>NO</v>
      </c>
      <c r="D19" s="48" t="str">
        <f>'[15]Table4(II)'!$H$30</f>
        <v>NO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'[15]Table4(II)'!$C$30</f>
        <v>NO</v>
      </c>
      <c r="Z19" s="25">
        <v>0</v>
      </c>
      <c r="AA19" s="26">
        <v>0</v>
      </c>
    </row>
    <row r="20" spans="1:27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244.36499999999998</v>
      </c>
      <c r="C20" s="48" t="str">
        <f>'[15]Table4(II)'!$I$23</f>
        <v>NO</v>
      </c>
      <c r="D20" s="25">
        <v>0</v>
      </c>
      <c r="E20" s="9">
        <f>[15]Table4.B!$Q$10</f>
        <v>-66.644999999999996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0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244.36499999999998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0</v>
      </c>
      <c r="K20" s="25">
        <v>0</v>
      </c>
      <c r="L20" s="11">
        <f t="shared" si="2"/>
        <v>244.36499999999998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B$3*44/12</f>
        <v>200.62366500000005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E$3*44/28000</f>
        <v>0.1361462142857143</v>
      </c>
      <c r="P20" s="7">
        <f>N20*'GWP CFs'!$B$3</f>
        <v>0</v>
      </c>
      <c r="Q20" s="18">
        <f>O20*'GWP CFs'!$B$4</f>
        <v>36.078746785714287</v>
      </c>
      <c r="R20" s="11">
        <f>M20+P20+Q20</f>
        <v>236.70241178571433</v>
      </c>
      <c r="S20" s="18">
        <f>AA20*EFs!$B$3*44/12</f>
        <v>200.62366500000005</v>
      </c>
      <c r="T20" s="18">
        <f>AA20*0.95*EFs!$C$3/1000</f>
        <v>0</v>
      </c>
      <c r="U20" s="11">
        <f>AA20*EFs!$E$3*44/28000</f>
        <v>0.1361462142857143</v>
      </c>
      <c r="V20" s="18">
        <f>T20*'GWP CFs'!$B$3</f>
        <v>0</v>
      </c>
      <c r="W20" s="18">
        <f>U20*'GWP CFs'!$B$4</f>
        <v>36.078746785714287</v>
      </c>
      <c r="X20" s="11">
        <f>S20+V20+W20</f>
        <v>236.70241178571433</v>
      </c>
      <c r="Y20" s="14">
        <f>[15]Table4.B!$E$10</f>
        <v>6.6645000000000003</v>
      </c>
      <c r="Z20" s="25">
        <v>0</v>
      </c>
      <c r="AA20" s="39">
        <v>6.6645000000000003</v>
      </c>
    </row>
    <row r="21" spans="1:27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0.05*EFs!$D$3/1000</f>
        <v>0.3882071250000001</v>
      </c>
      <c r="O21" s="26">
        <v>0</v>
      </c>
      <c r="P21" s="7">
        <f>N21*'GWP CFs'!$B$3</f>
        <v>10.869799500000003</v>
      </c>
      <c r="Q21" s="25">
        <v>0</v>
      </c>
      <c r="R21" s="11">
        <f>M21+P21+Q21</f>
        <v>10.869799500000003</v>
      </c>
      <c r="S21" s="25">
        <v>0</v>
      </c>
      <c r="T21" s="18">
        <f>AA20*0.05*EFs!$D$3/1000</f>
        <v>0.3882071250000001</v>
      </c>
      <c r="U21" s="42">
        <v>0</v>
      </c>
      <c r="V21" s="18">
        <f>T21*'GWP CFs'!$B$3</f>
        <v>10.869799500000003</v>
      </c>
      <c r="W21" s="25">
        <v>0</v>
      </c>
      <c r="X21" s="11">
        <f>V21</f>
        <v>10.869799500000003</v>
      </c>
      <c r="Y21" s="25">
        <v>0</v>
      </c>
      <c r="Z21" s="25">
        <v>0</v>
      </c>
      <c r="AA21" s="26">
        <v>0</v>
      </c>
    </row>
    <row r="22" spans="1:27" x14ac:dyDescent="0.35">
      <c r="A22" s="28" t="s">
        <v>7</v>
      </c>
      <c r="B22" s="29">
        <f>[15]Table4!$B$14</f>
        <v>-1488.4629429828522</v>
      </c>
      <c r="C22" s="29">
        <f>[15]Summary1.As2!$C$22</f>
        <v>0.61767024804346005</v>
      </c>
      <c r="D22" s="29">
        <f>[15]Summary1.As2!$D$22</f>
        <v>4.3727944811699998E-3</v>
      </c>
      <c r="E22" s="30">
        <v>0</v>
      </c>
      <c r="F22" s="29">
        <f>[15]Summary2!$C$42</f>
        <v>15.4417562010865</v>
      </c>
      <c r="G22" s="29">
        <f>[15]Summary2!$D$42</f>
        <v>1.30309275538866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-1471.718094026377</v>
      </c>
      <c r="I22" s="32">
        <f>[15]Summary2!$J$42</f>
        <v>-1471.718094026377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17.294766945216882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1.15879053751005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-1470.0093855001253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-1931.7599488146279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0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1.2631152586999999E-4</v>
      </c>
      <c r="P22" s="31">
        <f>N22*'GWP CFs'!$B$3</f>
        <v>0</v>
      </c>
      <c r="Q22" s="31">
        <f>O22*'GWP CFs'!$B$4</f>
        <v>3.3472554355549994E-2</v>
      </c>
      <c r="R22" s="33">
        <f>M22+P22+Q22</f>
        <v>-1931.7264762602724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-1931.7599488146279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0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1.2631152586999999E-4</v>
      </c>
      <c r="V22" s="31">
        <f>T22*'GWP CFs'!$B$3</f>
        <v>0</v>
      </c>
      <c r="W22" s="31">
        <f>U22*'GWP CFs'!$B$4</f>
        <v>3.3472554355549994E-2</v>
      </c>
      <c r="X22" s="33">
        <f>S22+V22+W22</f>
        <v>-1931.7264762602724</v>
      </c>
      <c r="Y22" s="29">
        <f>[15]Table4.C!$C$10</f>
        <v>5471.8171340602239</v>
      </c>
      <c r="Z22" s="34">
        <v>0</v>
      </c>
      <c r="AA22" s="30">
        <v>0</v>
      </c>
    </row>
    <row r="23" spans="1:27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-1931.7599488146279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1.2631152586999999E-4</v>
      </c>
      <c r="E23" s="9">
        <f>[15]Table4.C!$P$10</f>
        <v>526.84362240398946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3.7640834709259996E-2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-1931.7223079799187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3.3472554355549994E-2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-1931.7264762602724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[15]Table4.C!$D$10</f>
        <v>5471.8171340602239</v>
      </c>
      <c r="Z23" s="25">
        <v>0</v>
      </c>
      <c r="AA23" s="26">
        <v>0</v>
      </c>
    </row>
    <row r="24" spans="1:27" x14ac:dyDescent="0.35">
      <c r="A24" s="22" t="s">
        <v>44</v>
      </c>
      <c r="B24" s="25">
        <v>0</v>
      </c>
      <c r="C24" s="25">
        <v>0</v>
      </c>
      <c r="D24" s="48">
        <f>'[15]Table4(III)'!$D$20</f>
        <v>1.2631152586999999E-4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3.7640834709259996E-2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3.7640834709259996E-2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3.3472554355549994E-2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3.3472554355549994E-2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>
        <f>'[15]Table4(III)'!$B$20</f>
        <v>739.55661097270399</v>
      </c>
      <c r="Z24" s="25">
        <v>0</v>
      </c>
      <c r="AA24" s="26">
        <v>0</v>
      </c>
    </row>
    <row r="25" spans="1:27" x14ac:dyDescent="0.35">
      <c r="A25" s="6" t="s">
        <v>45</v>
      </c>
      <c r="B25" s="49" t="str">
        <f>'[15]Table4(II)'!$G$43</f>
        <v>NO</v>
      </c>
      <c r="C25" s="48" t="str">
        <f>'[15]Table4(II)'!$I$43</f>
        <v>NO</v>
      </c>
      <c r="D25" s="48" t="str">
        <f>'[15]Table4(II)'!$H$43</f>
        <v>NO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'[15]Table4(II)'!$C$43</f>
        <v>NO</v>
      </c>
      <c r="Z25" s="25">
        <v>0</v>
      </c>
      <c r="AA25" s="26">
        <v>0</v>
      </c>
    </row>
    <row r="26" spans="1:27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0</v>
      </c>
      <c r="C26" s="48" t="str">
        <f>'[15]Table4(II)'!$I$36</f>
        <v>NO</v>
      </c>
      <c r="D26" s="25">
        <v>0</v>
      </c>
      <c r="E26" s="9" t="str">
        <f>[15]Table4.C!$Q$10</f>
        <v>NO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0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0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0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0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$5*44/12</f>
        <v>0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$5/1000</f>
        <v>0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$5*44/28000</f>
        <v>0</v>
      </c>
      <c r="P26" s="7">
        <f>N26*'GWP CFs'!$B$3</f>
        <v>0</v>
      </c>
      <c r="Q26" s="7">
        <f>O26*'GWP CFs'!$B$4</f>
        <v>0</v>
      </c>
      <c r="R26" s="11">
        <f>M26+P26+Q26</f>
        <v>0</v>
      </c>
      <c r="S26" s="18">
        <f>AA26*EFs!$B$5*44/12</f>
        <v>0</v>
      </c>
      <c r="T26" s="18">
        <f>AA26*0.95*EFs!$C$5/1000</f>
        <v>0</v>
      </c>
      <c r="U26" s="11">
        <f>AA26*EFs!$E$5*44/28000</f>
        <v>0</v>
      </c>
      <c r="V26" s="18">
        <f>T26*'GWP CFs'!$B$3</f>
        <v>0</v>
      </c>
      <c r="W26" s="18">
        <f>U26*'GWP CFs'!$B$4</f>
        <v>0</v>
      </c>
      <c r="X26" s="11">
        <f>S26+V26+W26</f>
        <v>0</v>
      </c>
      <c r="Y26" s="14" t="str">
        <f>[15]Table4.C!$E$10</f>
        <v>NO</v>
      </c>
      <c r="Z26" s="25">
        <v>0</v>
      </c>
      <c r="AA26" s="39">
        <v>0</v>
      </c>
    </row>
    <row r="27" spans="1:27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$5/1000</f>
        <v>0</v>
      </c>
      <c r="O27" s="10">
        <v>0</v>
      </c>
      <c r="P27" s="7">
        <f>N27*'GWP CFs'!$B$3</f>
        <v>0</v>
      </c>
      <c r="Q27" s="21">
        <v>0</v>
      </c>
      <c r="R27" s="11">
        <f>P27</f>
        <v>0</v>
      </c>
      <c r="S27" s="25">
        <v>0</v>
      </c>
      <c r="T27" s="18">
        <f>AA26*0.05*EFs!$D$5/1000</f>
        <v>0</v>
      </c>
      <c r="U27" s="26">
        <v>0</v>
      </c>
      <c r="V27" s="18">
        <f>T27*'GWP CFs'!$B$3</f>
        <v>0</v>
      </c>
      <c r="W27" s="25">
        <v>0</v>
      </c>
      <c r="X27" s="11">
        <f>V27</f>
        <v>0</v>
      </c>
      <c r="Y27" s="25">
        <v>0</v>
      </c>
      <c r="Z27" s="25">
        <v>0</v>
      </c>
      <c r="AA27" s="26">
        <v>0</v>
      </c>
    </row>
    <row r="28" spans="1:27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0</v>
      </c>
      <c r="T28" s="31">
        <f>T29+T30</f>
        <v>0</v>
      </c>
      <c r="U28" s="33">
        <f>U29</f>
        <v>0</v>
      </c>
      <c r="V28" s="31">
        <f>V29+V30</f>
        <v>0</v>
      </c>
      <c r="W28" s="31">
        <f>W29</f>
        <v>0</v>
      </c>
      <c r="X28" s="33">
        <f>X29+X30</f>
        <v>0</v>
      </c>
      <c r="Y28" s="34">
        <v>0</v>
      </c>
      <c r="Z28" s="34">
        <v>0</v>
      </c>
      <c r="AA28" s="30">
        <v>0</v>
      </c>
    </row>
    <row r="29" spans="1:27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0</v>
      </c>
      <c r="T29" s="18">
        <f>AA29*0.95*EFs!$C$9/1000</f>
        <v>0</v>
      </c>
      <c r="U29" s="11">
        <f>AA29*EFs!$E$9*44/28000</f>
        <v>0</v>
      </c>
      <c r="V29" s="18">
        <f>T29*'GWP CFs'!$B$3</f>
        <v>0</v>
      </c>
      <c r="W29" s="18">
        <f>U29*'GWP CFs'!$B$4</f>
        <v>0</v>
      </c>
      <c r="X29" s="11">
        <f>S29+V29+W29</f>
        <v>0</v>
      </c>
      <c r="Y29" s="25">
        <v>0</v>
      </c>
      <c r="Z29" s="25">
        <v>0</v>
      </c>
      <c r="AA29" s="39">
        <v>0</v>
      </c>
    </row>
    <row r="30" spans="1:27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0</v>
      </c>
      <c r="U30" s="42">
        <v>0</v>
      </c>
      <c r="V30" s="44">
        <f>T30*'GWP CFs'!$B$3</f>
        <v>0</v>
      </c>
      <c r="W30" s="90">
        <v>0</v>
      </c>
      <c r="X30" s="46">
        <f>V30</f>
        <v>0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zoomScale="60" zoomScaleNormal="60" workbookViewId="0">
      <selection activeCell="AE21" sqref="AE21"/>
    </sheetView>
  </sheetViews>
  <sheetFormatPr baseColWidth="10" defaultRowHeight="14.5" x14ac:dyDescent="0.35"/>
  <cols>
    <col min="1" max="1" width="47.453125" customWidth="1"/>
  </cols>
  <sheetData>
    <row r="1" spans="1:27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2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[16]Summary1.As1!$B$7</f>
        <v>12501.064061663817</v>
      </c>
      <c r="C3" s="8">
        <f>[16]Summary1.As1!$C$7</f>
        <v>155.60097771793428</v>
      </c>
      <c r="D3" s="14">
        <f>[16]Summary1.As1!$D$7</f>
        <v>6.0667916370727104</v>
      </c>
      <c r="E3" s="26">
        <v>0</v>
      </c>
      <c r="F3" s="8">
        <f>[16]Summary2!C7</f>
        <v>3890.0244429483573</v>
      </c>
      <c r="G3" s="8">
        <f>[16]Summary2!D7</f>
        <v>1807.9039078476676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18198.992412459844</v>
      </c>
      <c r="I3" s="9">
        <f>[16]Summary2!$J$7</f>
        <v>18698.569490533235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4356.8273761021601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1607.6997838242683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18465.591221590246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[16]Summary1.As2!$B$8</f>
        <v>75.964753632485994</v>
      </c>
      <c r="C4" s="29">
        <f>[16]Summary1.As2!$C$8</f>
        <v>55.381214857137763</v>
      </c>
      <c r="D4" s="29">
        <f>[16]Summary1.As2!$D$8</f>
        <v>4.2275328649950499</v>
      </c>
      <c r="E4" s="30">
        <v>0</v>
      </c>
      <c r="F4" s="29">
        <f>[16]Summary2!$C$28</f>
        <v>1384.5303714284439</v>
      </c>
      <c r="G4" s="29">
        <f>[16]Summary2!$D$28</f>
        <v>1259.8047937685249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2720.2999188294548</v>
      </c>
      <c r="I4" s="32">
        <f>[16]Summary2!$J$28</f>
        <v>2720.2999188294548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1550.6740159998574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1120.2962092236883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2746.9349788560316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25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[16]Summary1.As2!$C$9</f>
        <v>39.330281999999997</v>
      </c>
      <c r="D5" s="21">
        <v>0</v>
      </c>
      <c r="E5" s="26">
        <v>0</v>
      </c>
      <c r="F5" s="8">
        <f>[16]Summary2!$C$29</f>
        <v>983.25705000000005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983.25705000000005</v>
      </c>
      <c r="I5" s="14">
        <f>[16]Summary2!$J$29</f>
        <v>983.25705000000005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1101.2478959999999</v>
      </c>
      <c r="K5" s="25">
        <v>0</v>
      </c>
      <c r="L5" s="11">
        <f t="shared" si="0"/>
        <v>1101.2478959999999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25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[16]Summary1.As2!$C$10</f>
        <v>16.050932857137759</v>
      </c>
      <c r="D6" s="14">
        <f>[16]Summary1.As2!$D$10</f>
        <v>0.45743520872955001</v>
      </c>
      <c r="E6" s="26">
        <v>0</v>
      </c>
      <c r="F6" s="8">
        <f>[16]Summary2!C30</f>
        <v>401.27332142844398</v>
      </c>
      <c r="G6" s="14">
        <f>[16]Summary2!D30</f>
        <v>136.31569220140591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537.58901362984989</v>
      </c>
      <c r="I6" s="14">
        <f>[16]Summary2!$J$30</f>
        <v>537.58901362984989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449.42611999985729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121.22033031333075</v>
      </c>
      <c r="L6" s="11">
        <f t="shared" si="0"/>
        <v>570.6464503131881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25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 t="str">
        <f>[16]Table3s2!$C$7</f>
        <v>NO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0</v>
      </c>
      <c r="G7" s="25">
        <v>0</v>
      </c>
      <c r="H7" s="7">
        <f t="shared" si="1"/>
        <v>0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0</v>
      </c>
      <c r="K7" s="25">
        <v>0</v>
      </c>
      <c r="L7" s="11">
        <f t="shared" si="0"/>
        <v>0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25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[16]Summary1.As2!$C$12</f>
        <v>NE</v>
      </c>
      <c r="D8" s="14">
        <f>[16]Summary1.As2!$D$12</f>
        <v>3.7700976562655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[16]Summary2!$D$32</f>
        <v>1123.489101567119</v>
      </c>
      <c r="H8" s="7">
        <f t="shared" si="1"/>
        <v>1123.489101567119</v>
      </c>
      <c r="I8" s="9">
        <f>[16]Summary2!$J$32</f>
        <v>1123.489101567119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999.07587891035746</v>
      </c>
      <c r="L8" s="11">
        <f t="shared" si="0"/>
        <v>999.07587891035746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25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>
        <f>[16]Table3.D!$E$17</f>
        <v>3.3760445714290002E-2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10.06061282285842</v>
      </c>
      <c r="H9" s="7">
        <f t="shared" si="1"/>
        <v>10.06061282285842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8.9465181142868513</v>
      </c>
      <c r="L9" s="11">
        <f t="shared" si="0"/>
        <v>8.9465181142868513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8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2.6854899999999997</v>
      </c>
      <c r="Z9" s="14">
        <f>[16]Table3.D!$C$17</f>
        <v>2685.49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[16]Table3s2!C9</f>
        <v>NO</v>
      </c>
      <c r="D10" s="14" t="str">
        <f>[16]Table3s2!D9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25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 t="str">
        <f>[16]Table3s2!C10</f>
        <v>NO</v>
      </c>
      <c r="D11" s="14" t="str">
        <f>[16]Table3s2!D10</f>
        <v>NO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0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0</v>
      </c>
      <c r="H11" s="7">
        <f t="shared" si="1"/>
        <v>0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0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0</v>
      </c>
      <c r="L11" s="11">
        <f t="shared" si="0"/>
        <v>0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25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>
        <f>[16]Table3s2!B11</f>
        <v>10.917241432486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10.917241432486</v>
      </c>
      <c r="I12" s="26">
        <v>0</v>
      </c>
      <c r="J12" s="25">
        <v>0</v>
      </c>
      <c r="K12" s="25">
        <v>0</v>
      </c>
      <c r="L12" s="11">
        <f t="shared" si="0"/>
        <v>10.917241432486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25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>
        <f>[16]Table3s2!B12</f>
        <v>65.0475122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65.0475122</v>
      </c>
      <c r="I13" s="26">
        <v>0</v>
      </c>
      <c r="J13" s="25">
        <v>0</v>
      </c>
      <c r="K13" s="25">
        <v>0</v>
      </c>
      <c r="L13" s="11">
        <f t="shared" si="0"/>
        <v>65.0475122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25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 t="str">
        <f>[16]Table3s2!B13</f>
        <v>NA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25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[16]Table3s2!B14</f>
        <v>NO</v>
      </c>
      <c r="C15" s="14" t="str">
        <f>[16]Table3s2!C14</f>
        <v>NO</v>
      </c>
      <c r="D15" s="14" t="str">
        <f>[16]Table3s2!D14</f>
        <v>NO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25">
        <v>0</v>
      </c>
      <c r="Z15" s="25">
        <v>0</v>
      </c>
      <c r="AA15" s="42">
        <v>0</v>
      </c>
    </row>
    <row r="16" spans="1:27" x14ac:dyDescent="0.35">
      <c r="A16" s="28" t="s">
        <v>8</v>
      </c>
      <c r="B16" s="29">
        <f>[16]Table4!$B$11</f>
        <v>448.9708938283872</v>
      </c>
      <c r="C16" s="29">
        <f>[16]Summary1.As2!$C$21</f>
        <v>3.2300930000000002E-4</v>
      </c>
      <c r="D16" s="29">
        <f>[16]Summary1.As2!$D$21</f>
        <v>7.1655828520000006E-2</v>
      </c>
      <c r="E16" s="30">
        <v>0</v>
      </c>
      <c r="F16" s="29">
        <f>[16]Summary2!$C$41</f>
        <v>8.0752324999999996E-3</v>
      </c>
      <c r="G16" s="29">
        <f>[16]Summary2!$D$41</f>
        <v>21.353436898959998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470.33240595984722</v>
      </c>
      <c r="I16" s="32">
        <f>[16]Summary2!$J$41</f>
        <v>470.33240595984716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9.0442604000000003E-3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18.988794557800002</v>
      </c>
      <c r="L16" s="11">
        <f t="shared" si="2"/>
        <v>467.96873264658723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282.08504552108172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0.14327912471508999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0.12188362742108</v>
      </c>
      <c r="P16" s="31">
        <f>N16*'GWP CFs'!$B$3</f>
        <v>4.01181549202252</v>
      </c>
      <c r="Q16" s="31">
        <f>O16*'GWP CFs'!$B$4</f>
        <v>32.299161266586196</v>
      </c>
      <c r="R16" s="33">
        <f>M16+P16+Q16</f>
        <v>318.39602227969044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282.08503158564668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0.14327909775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0.12188361796428572</v>
      </c>
      <c r="V16" s="31">
        <f>T16*'GWP CFs'!$B$3</f>
        <v>4.0118147369999999</v>
      </c>
      <c r="W16" s="31">
        <f>U16*'GWP CFs'!$B$4</f>
        <v>32.299158760535718</v>
      </c>
      <c r="X16" s="33">
        <f>S16+V16+W16</f>
        <v>318.39600508318239</v>
      </c>
      <c r="Y16" s="29">
        <f>[16]Table4.B!$C$10</f>
        <v>1532.9015518666199</v>
      </c>
      <c r="Z16" s="34">
        <v>0</v>
      </c>
      <c r="AA16" s="30">
        <v>0</v>
      </c>
    </row>
    <row r="17" spans="1:29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208.03904979564666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7.1634909250000003E-2</v>
      </c>
      <c r="E17" s="9">
        <f>[16]Table4.B!$P$10</f>
        <v>-56.737922671539998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21.347202956500002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229.38625275214667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18.98325095125</v>
      </c>
      <c r="L17" s="11">
        <f t="shared" si="2"/>
        <v>227.02230074689666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[16]Table4.B!$D$10</f>
        <v>1530.4418244036999</v>
      </c>
      <c r="Z17" s="25">
        <v>0</v>
      </c>
      <c r="AA17" s="26">
        <v>0</v>
      </c>
    </row>
    <row r="18" spans="1:29" x14ac:dyDescent="0.35">
      <c r="A18" s="22" t="s">
        <v>44</v>
      </c>
      <c r="B18" s="12">
        <v>0</v>
      </c>
      <c r="C18" s="21">
        <v>0</v>
      </c>
      <c r="D18" s="48">
        <f>'[16]Table4(III)'!$D$15</f>
        <v>7.1634909250000003E-2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21.347202956500002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21.347202956500002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18.98325095125</v>
      </c>
      <c r="L18" s="11">
        <f t="shared" si="2"/>
        <v>18.98325095125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'[16]Table4(III)'!$B$15</f>
        <v>44.346140652179997</v>
      </c>
      <c r="Z18" s="25">
        <v>0</v>
      </c>
      <c r="AA18" s="26">
        <v>0</v>
      </c>
    </row>
    <row r="19" spans="1:29" x14ac:dyDescent="0.35">
      <c r="A19" s="6" t="s">
        <v>45</v>
      </c>
      <c r="B19" s="49" t="str">
        <f>'[16]Table4(II)'!$G$22</f>
        <v>NO</v>
      </c>
      <c r="C19" s="48" t="str">
        <f>'[16]Table4(II)'!$I$22</f>
        <v>NO</v>
      </c>
      <c r="D19" s="48" t="str">
        <f>'[16]Table4(II)'!$H$22</f>
        <v>NO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'[16]Table4(II)'!$C$22</f>
        <v>NO</v>
      </c>
      <c r="Z19" s="25">
        <v>0</v>
      </c>
      <c r="AA19" s="26">
        <v>0</v>
      </c>
    </row>
    <row r="20" spans="1:29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90.190006973843325</v>
      </c>
      <c r="C20" s="48" t="str">
        <f>'[16]Table4(II)'!$I$18</f>
        <v>NO</v>
      </c>
      <c r="D20" s="25">
        <v>0</v>
      </c>
      <c r="E20" s="9">
        <f>[16]Table4.B!$Q$10</f>
        <v>-24.59727462923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0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90.190006973843325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0</v>
      </c>
      <c r="K20" s="25">
        <v>0</v>
      </c>
      <c r="L20" s="11">
        <f t="shared" si="2"/>
        <v>90.190006973843325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B$3*44/12</f>
        <v>74.045995725435077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E$3*44/28000</f>
        <v>5.0248718171080002E-2</v>
      </c>
      <c r="P20" s="7">
        <f>N20*'GWP CFs'!$B$3</f>
        <v>0</v>
      </c>
      <c r="Q20" s="18">
        <f>O20*'GWP CFs'!$B$4</f>
        <v>13.3159103153362</v>
      </c>
      <c r="R20" s="11">
        <f>M20+P20+Q20</f>
        <v>87.361906040771274</v>
      </c>
      <c r="S20" s="18">
        <f>AA20*EFs!$B$3*44/12</f>
        <v>74.045981790000013</v>
      </c>
      <c r="T20" s="18">
        <f>AA20*0.95*EFs!$C$3/1000</f>
        <v>0</v>
      </c>
      <c r="U20" s="11">
        <f>AA20*EFs!$E$3*44/28000</f>
        <v>5.0248708714285717E-2</v>
      </c>
      <c r="V20" s="18">
        <f>T20*'GWP CFs'!$B$3</f>
        <v>0</v>
      </c>
      <c r="W20" s="18">
        <f>U20*'GWP CFs'!$B$4</f>
        <v>13.315907809285715</v>
      </c>
      <c r="X20" s="11">
        <f>S20+V20+W20</f>
        <v>87.361889599285732</v>
      </c>
      <c r="Y20" s="14">
        <f>[16]Table4.B!$E$10</f>
        <v>2.4597274629200001</v>
      </c>
      <c r="Z20" s="25">
        <v>0</v>
      </c>
      <c r="AA20" s="39">
        <v>2.459727</v>
      </c>
    </row>
    <row r="21" spans="1:29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0.05*EFs!$D$3/1000</f>
        <v>0.14327912471508999</v>
      </c>
      <c r="O21" s="26">
        <v>0</v>
      </c>
      <c r="P21" s="7">
        <f>N21*'GWP CFs'!$B$3</f>
        <v>4.01181549202252</v>
      </c>
      <c r="Q21" s="25">
        <v>0</v>
      </c>
      <c r="R21" s="11">
        <f>M21+P21+Q21</f>
        <v>4.01181549202252</v>
      </c>
      <c r="S21" s="25">
        <v>0</v>
      </c>
      <c r="T21" s="18">
        <f>AA20*0.05*EFs!$D$3/1000</f>
        <v>0.14327909775</v>
      </c>
      <c r="U21" s="42">
        <v>0</v>
      </c>
      <c r="V21" s="18">
        <f>T21*'GWP CFs'!$B$3</f>
        <v>4.0118147369999999</v>
      </c>
      <c r="W21" s="25">
        <v>0</v>
      </c>
      <c r="X21" s="11">
        <f>V21</f>
        <v>4.0118147369999999</v>
      </c>
      <c r="Y21" s="25">
        <v>0</v>
      </c>
      <c r="Z21" s="25">
        <v>0</v>
      </c>
      <c r="AA21" s="26">
        <v>0</v>
      </c>
      <c r="AC21" s="82"/>
    </row>
    <row r="22" spans="1:29" x14ac:dyDescent="0.35">
      <c r="A22" s="28" t="s">
        <v>7</v>
      </c>
      <c r="B22" s="29">
        <f>[16]Table4!$B$14</f>
        <v>-223.37826827422353</v>
      </c>
      <c r="C22" s="29">
        <f>[16]Summary1.As2!$C$22</f>
        <v>1.8021484399999999E-2</v>
      </c>
      <c r="D22" s="29">
        <f>[16]Summary1.As2!$D$22</f>
        <v>1.64543988E-3</v>
      </c>
      <c r="E22" s="30">
        <v>0</v>
      </c>
      <c r="F22" s="29">
        <f>[16]Summary2!$C$42</f>
        <v>0.45053711000000002</v>
      </c>
      <c r="G22" s="29">
        <f>[16]Summary2!$D$42</f>
        <v>0.49034108424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-222.43739007998354</v>
      </c>
      <c r="I22" s="32">
        <f>[16]Summary2!$J$42</f>
        <v>-222.43739007998354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0.50460156319999994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0.43604156820000001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-222.43762514282352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-223.06987165033229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1.5013041942465E-2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2.4478837452912858E-3</v>
      </c>
      <c r="P22" s="31">
        <f>N22*'GWP CFs'!$B$3</f>
        <v>0.42036517438901999</v>
      </c>
      <c r="Q22" s="31">
        <f>O22*'GWP CFs'!$B$4</f>
        <v>0.6486891925021907</v>
      </c>
      <c r="R22" s="33">
        <f>M22+P22+Q22</f>
        <v>-222.00081728344108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-223.06987229402333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1.5013039999999998E-2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2.4478834285714284E-3</v>
      </c>
      <c r="V22" s="31">
        <f>T22*'GWP CFs'!$B$3</f>
        <v>0.42036511999999993</v>
      </c>
      <c r="W22" s="31">
        <f>U22*'GWP CFs'!$B$4</f>
        <v>0.64868910857142859</v>
      </c>
      <c r="X22" s="33">
        <f>S22+V22+W22</f>
        <v>-222.00081806545188</v>
      </c>
      <c r="Y22" s="29">
        <f>[16]Table4.C!$C$10</f>
        <v>1153.22183727427</v>
      </c>
      <c r="Z22" s="34">
        <v>0</v>
      </c>
      <c r="AA22" s="30">
        <v>0</v>
      </c>
    </row>
    <row r="23" spans="1:29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-228.04487016068998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0</v>
      </c>
      <c r="E23" s="9">
        <f>[16]Table4.C!$P$10</f>
        <v>62.194055498369998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0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-228.04487016068998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0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-228.04487016068998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[16]Table4.C!$D$10</f>
        <v>1152.99607724506</v>
      </c>
      <c r="Z23" s="25">
        <v>0</v>
      </c>
      <c r="AA23" s="26">
        <v>0</v>
      </c>
    </row>
    <row r="24" spans="1:29" x14ac:dyDescent="0.35">
      <c r="A24" s="22" t="s">
        <v>44</v>
      </c>
      <c r="B24" s="25">
        <v>0</v>
      </c>
      <c r="C24" s="25">
        <v>0</v>
      </c>
      <c r="D24" s="48" t="str">
        <f>'[16]Table4(III)'!$D$19</f>
        <v>NO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0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0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0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0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>
        <f>'[16]Table4(III)'!$B$19</f>
        <v>59.602732070969999</v>
      </c>
      <c r="Z24" s="25">
        <v>0</v>
      </c>
      <c r="AA24" s="26">
        <v>0</v>
      </c>
    </row>
    <row r="25" spans="1:29" x14ac:dyDescent="0.35">
      <c r="A25" s="6" t="s">
        <v>45</v>
      </c>
      <c r="B25" s="49" t="str">
        <f>'[16]Table4(II)'!$G$30</f>
        <v>NO</v>
      </c>
      <c r="C25" s="48" t="str">
        <f>'[16]Table4(II)'!$I$30</f>
        <v>NO</v>
      </c>
      <c r="D25" s="48" t="str">
        <f>'[16]Table4(II)'!$H$30</f>
        <v>NO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'[16]Table4(II)'!$C$30</f>
        <v>NO</v>
      </c>
      <c r="Z25" s="25">
        <v>0</v>
      </c>
      <c r="AA25" s="26">
        <v>0</v>
      </c>
    </row>
    <row r="26" spans="1:29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2.0694669344799999</v>
      </c>
      <c r="C26" s="48" t="str">
        <f>'[16]Table4(II)'!$I$26</f>
        <v>NO</v>
      </c>
      <c r="D26" s="25">
        <v>0</v>
      </c>
      <c r="E26" s="9">
        <f>[16]Table4.C!$Q$10</f>
        <v>-0.56440007303999995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0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2.0694669344799999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0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2.0694669344799999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$5*44/12</f>
        <v>4.9749985103576995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$5/1000</f>
        <v>3.6460244717414995E-3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$5*44/28000</f>
        <v>2.4478837452912858E-3</v>
      </c>
      <c r="P26" s="7">
        <f>N26*'GWP CFs'!$B$3</f>
        <v>0.10208868520876199</v>
      </c>
      <c r="Q26" s="7">
        <f>O26*'GWP CFs'!$B$4</f>
        <v>0.6486891925021907</v>
      </c>
      <c r="R26" s="11">
        <f>M26+P26+Q26</f>
        <v>5.7257763880686525</v>
      </c>
      <c r="S26" s="18">
        <f>AA26*EFs!$B$5*44/12</f>
        <v>4.9749978666666665</v>
      </c>
      <c r="T26" s="18">
        <f>AA26*0.95*EFs!$C$5/1000</f>
        <v>3.6460239999999994E-3</v>
      </c>
      <c r="U26" s="11">
        <f>AA26*EFs!$E$5*44/28000</f>
        <v>2.4478834285714284E-3</v>
      </c>
      <c r="V26" s="18">
        <f>T26*'GWP CFs'!$B$3</f>
        <v>0.10208867199999999</v>
      </c>
      <c r="W26" s="18">
        <f>U26*'GWP CFs'!$B$4</f>
        <v>0.64868910857142859</v>
      </c>
      <c r="X26" s="11">
        <f>S26+V26+W26</f>
        <v>5.7257756472380947</v>
      </c>
      <c r="Y26" s="14">
        <f>[16]Table4.C!$E$10</f>
        <v>0.22576002920999999</v>
      </c>
      <c r="Z26" s="25">
        <v>0</v>
      </c>
      <c r="AA26" s="39">
        <v>0.22575999999999999</v>
      </c>
    </row>
    <row r="27" spans="1:29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$5/1000</f>
        <v>1.13670174707235E-2</v>
      </c>
      <c r="O27" s="10">
        <v>0</v>
      </c>
      <c r="P27" s="7">
        <f>N27*'GWP CFs'!$B$3</f>
        <v>0.31827648918025803</v>
      </c>
      <c r="Q27" s="21">
        <v>0</v>
      </c>
      <c r="R27" s="11">
        <f>P27</f>
        <v>0.31827648918025803</v>
      </c>
      <c r="S27" s="25">
        <v>0</v>
      </c>
      <c r="T27" s="18">
        <f>AA26*0.05*EFs!$D$5/1000</f>
        <v>1.1367015999999999E-2</v>
      </c>
      <c r="U27" s="26">
        <v>0</v>
      </c>
      <c r="V27" s="18">
        <f>T27*'GWP CFs'!$B$3</f>
        <v>0.31827644799999999</v>
      </c>
      <c r="W27" s="25">
        <v>0</v>
      </c>
      <c r="X27" s="11">
        <f>V27</f>
        <v>0.31827644799999999</v>
      </c>
      <c r="Y27" s="25">
        <v>0</v>
      </c>
      <c r="Z27" s="25">
        <v>0</v>
      </c>
      <c r="AA27" s="26">
        <v>0</v>
      </c>
    </row>
    <row r="28" spans="1:29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52.139999999999993</v>
      </c>
      <c r="T28" s="31">
        <f>T29+T30</f>
        <v>0.12465</v>
      </c>
      <c r="U28" s="33">
        <f>U29</f>
        <v>3.1271428571428568E-2</v>
      </c>
      <c r="V28" s="31">
        <f>V29+V30</f>
        <v>3.4901999999999997</v>
      </c>
      <c r="W28" s="31">
        <f>W29</f>
        <v>8.2869285714285699</v>
      </c>
      <c r="X28" s="33">
        <f>X29+X30</f>
        <v>63.917128571428556</v>
      </c>
      <c r="Y28" s="34">
        <v>0</v>
      </c>
      <c r="Z28" s="34">
        <v>0</v>
      </c>
      <c r="AA28" s="30">
        <v>0</v>
      </c>
    </row>
    <row r="29" spans="1:29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52.139999999999993</v>
      </c>
      <c r="T29" s="18">
        <f>AA29*0.95*EFs!$C$9/1000</f>
        <v>1.6149999999999998E-2</v>
      </c>
      <c r="U29" s="11">
        <f>AA29*EFs!$E$9*44/28000</f>
        <v>3.1271428571428568E-2</v>
      </c>
      <c r="V29" s="18">
        <f>T29*'GWP CFs'!$B$3</f>
        <v>0.45219999999999994</v>
      </c>
      <c r="W29" s="18">
        <f>U29*'GWP CFs'!$B$4</f>
        <v>8.2869285714285699</v>
      </c>
      <c r="X29" s="11">
        <f>S29+V29+W29</f>
        <v>60.879128571428559</v>
      </c>
      <c r="Y29" s="25">
        <v>0</v>
      </c>
      <c r="Z29" s="25">
        <v>0</v>
      </c>
      <c r="AA29" s="39">
        <v>2</v>
      </c>
    </row>
    <row r="30" spans="1:29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0.1085</v>
      </c>
      <c r="U30" s="42">
        <v>0</v>
      </c>
      <c r="V30" s="44">
        <f>T30*'GWP CFs'!$B$3</f>
        <v>3.0379999999999998</v>
      </c>
      <c r="W30" s="90">
        <v>0</v>
      </c>
      <c r="X30" s="46">
        <f>V30</f>
        <v>3.0379999999999998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zoomScale="60" zoomScaleNormal="60" workbookViewId="0">
      <selection activeCell="A30" sqref="A30:AA30"/>
    </sheetView>
  </sheetViews>
  <sheetFormatPr baseColWidth="10" defaultRowHeight="14.5" x14ac:dyDescent="0.35"/>
  <cols>
    <col min="1" max="1" width="47.7265625" customWidth="1"/>
  </cols>
  <sheetData>
    <row r="1" spans="1:27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2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[17]Summary1.As1!$B$7</f>
        <v>44917.185582985527</v>
      </c>
      <c r="C3" s="8">
        <f>[17]Summary1.As1!$C$7</f>
        <v>291.26274464636754</v>
      </c>
      <c r="D3" s="14">
        <f>[17]Summary1.As1!$D$7</f>
        <v>16.444618014697259</v>
      </c>
      <c r="E3" s="26">
        <v>0</v>
      </c>
      <c r="F3" s="8">
        <f>[17]Summary2!C7</f>
        <v>7281.5686161591893</v>
      </c>
      <c r="G3" s="8">
        <f>[17]Summary2!D7</f>
        <v>4900.4961683797837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57099.250367524495</v>
      </c>
      <c r="I3" s="9">
        <f>[17]Summary2!$J$7</f>
        <v>58559.625189259496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8155.356850098291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4357.8237738947737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57430.366206978586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[17]Summary1.As2!$B$8</f>
        <v>214.25355195021646</v>
      </c>
      <c r="C4" s="29">
        <f>[17]Summary1.As2!$C$8</f>
        <v>108.98703806849832</v>
      </c>
      <c r="D4" s="29">
        <f>[17]Summary1.As2!$D$8</f>
        <v>14.11647121640237</v>
      </c>
      <c r="E4" s="30">
        <v>0</v>
      </c>
      <c r="F4" s="29">
        <f>[17]Summary2!$C$28</f>
        <v>2724.6759517124578</v>
      </c>
      <c r="G4" s="29">
        <f>[17]Summary2!$D$28</f>
        <v>4206.7084224879063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7145.6379261505808</v>
      </c>
      <c r="I4" s="32">
        <f>[17]Summary2!$J$28</f>
        <v>7145.6379261505808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3051.6370659179529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3740.8648723466281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7006.7554902147976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25">
        <v>0</v>
      </c>
      <c r="Z4" s="25">
        <v>0</v>
      </c>
      <c r="AA4" s="25">
        <v>0</v>
      </c>
    </row>
    <row r="5" spans="1:27" x14ac:dyDescent="0.35">
      <c r="A5" s="4" t="s">
        <v>9</v>
      </c>
      <c r="B5" s="24">
        <v>0</v>
      </c>
      <c r="C5" s="14">
        <f>[17]Summary1.As2!$C$9</f>
        <v>82.029098030238885</v>
      </c>
      <c r="D5" s="21">
        <v>0</v>
      </c>
      <c r="E5" s="26">
        <v>0</v>
      </c>
      <c r="F5" s="8">
        <f>[17]Summary2!$C$29</f>
        <v>2050.7274507559719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2050.7274507559719</v>
      </c>
      <c r="I5" s="14">
        <f>[17]Summary2!$J$29</f>
        <v>2050.7274507559719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2296.8147448466889</v>
      </c>
      <c r="K5" s="25">
        <v>0</v>
      </c>
      <c r="L5" s="11">
        <f t="shared" si="0"/>
        <v>2296.8147448466889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25">
        <v>0</v>
      </c>
      <c r="Z5" s="25">
        <v>0</v>
      </c>
      <c r="AA5" s="25">
        <v>0</v>
      </c>
    </row>
    <row r="6" spans="1:27" x14ac:dyDescent="0.35">
      <c r="A6" s="4" t="s">
        <v>10</v>
      </c>
      <c r="B6" s="24">
        <v>0</v>
      </c>
      <c r="C6" s="14">
        <f>[17]Summary1.As2!$C$10</f>
        <v>26.154852855806539</v>
      </c>
      <c r="D6" s="14">
        <f>[17]Summary1.As2!$D$10</f>
        <v>1.5309453642706701</v>
      </c>
      <c r="E6" s="26">
        <v>0</v>
      </c>
      <c r="F6" s="8">
        <f>[17]Summary2!C30</f>
        <v>653.87132139516348</v>
      </c>
      <c r="G6" s="14">
        <f>[17]Summary2!D30</f>
        <v>456.22171855265964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1110.0930399478232</v>
      </c>
      <c r="I6" s="14">
        <f>[17]Summary2!$J$30</f>
        <v>1110.0930399478232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732.33587996258302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405.70052153172759</v>
      </c>
      <c r="L6" s="11">
        <f t="shared" si="0"/>
        <v>1138.0364014943107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25">
        <v>0</v>
      </c>
      <c r="Z6" s="25">
        <v>0</v>
      </c>
      <c r="AA6" s="25">
        <v>0</v>
      </c>
    </row>
    <row r="7" spans="1:27" x14ac:dyDescent="0.35">
      <c r="A7" s="4" t="s">
        <v>11</v>
      </c>
      <c r="B7" s="24">
        <v>0</v>
      </c>
      <c r="C7" s="14">
        <f>[17]Table3s2!$C$7</f>
        <v>0.79165772016257996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19.791443004064497</v>
      </c>
      <c r="G7" s="25">
        <v>0</v>
      </c>
      <c r="H7" s="7">
        <f t="shared" si="1"/>
        <v>19.791443004064497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22.166416164552238</v>
      </c>
      <c r="K7" s="25">
        <v>0</v>
      </c>
      <c r="L7" s="11">
        <f t="shared" si="0"/>
        <v>22.166416164552238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25">
        <v>0</v>
      </c>
      <c r="Z7" s="25">
        <v>0</v>
      </c>
      <c r="AA7" s="25">
        <v>0</v>
      </c>
    </row>
    <row r="8" spans="1:27" x14ac:dyDescent="0.35">
      <c r="A8" s="4" t="s">
        <v>12</v>
      </c>
      <c r="B8" s="24">
        <v>0</v>
      </c>
      <c r="C8" s="14" t="str">
        <f>[17]Summary1.As2!$C$12</f>
        <v>NA</v>
      </c>
      <c r="D8" s="14">
        <f>[17]Summary1.As2!$D$12</f>
        <v>12.585229532738991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[17]Summary2!$D$32</f>
        <v>3750.398400756219</v>
      </c>
      <c r="H8" s="7">
        <f t="shared" si="1"/>
        <v>3750.398400756219</v>
      </c>
      <c r="I8" s="9">
        <f>[17]Summary2!$J$32</f>
        <v>3750.398400756219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3335.0858261758326</v>
      </c>
      <c r="L8" s="11">
        <f t="shared" si="0"/>
        <v>3335.0858261758326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25">
        <v>0</v>
      </c>
      <c r="Z8" s="25">
        <v>0</v>
      </c>
      <c r="AA8" s="25">
        <v>0</v>
      </c>
    </row>
    <row r="9" spans="1:27" x14ac:dyDescent="0.35">
      <c r="A9" s="4" t="s">
        <v>42</v>
      </c>
      <c r="B9" s="24">
        <v>0</v>
      </c>
      <c r="C9" s="21">
        <v>0</v>
      </c>
      <c r="D9" s="14" t="str">
        <f>[17]Table3.D!$E$17</f>
        <v>NO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0</v>
      </c>
      <c r="H9" s="7">
        <f t="shared" si="1"/>
        <v>0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0</v>
      </c>
      <c r="L9" s="11">
        <f t="shared" si="0"/>
        <v>0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8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0</v>
      </c>
      <c r="Z9" s="14" t="str">
        <f>[17]Table3.D!$C$17</f>
        <v>NO</v>
      </c>
      <c r="AA9" s="25">
        <v>0</v>
      </c>
    </row>
    <row r="10" spans="1:27" x14ac:dyDescent="0.35">
      <c r="A10" s="4" t="s">
        <v>13</v>
      </c>
      <c r="B10" s="24">
        <v>0</v>
      </c>
      <c r="C10" s="14" t="str">
        <f>[17]Table3s2!C9</f>
        <v>NO</v>
      </c>
      <c r="D10" s="14" t="str">
        <f>[17]Table3s2!D9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25">
        <v>0</v>
      </c>
      <c r="Z10" s="25">
        <v>0</v>
      </c>
      <c r="AA10" s="25">
        <v>0</v>
      </c>
    </row>
    <row r="11" spans="1:27" x14ac:dyDescent="0.35">
      <c r="A11" s="4" t="s">
        <v>14</v>
      </c>
      <c r="B11" s="24">
        <v>0</v>
      </c>
      <c r="C11" s="14">
        <f>[17]Table3s2!C10</f>
        <v>1.142946229032E-2</v>
      </c>
      <c r="D11" s="14">
        <f>[17]Table3s2!D10</f>
        <v>2.9631939271000001E-4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0.28573655725800001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8.8303179027580003E-2</v>
      </c>
      <c r="H11" s="7">
        <f t="shared" si="1"/>
        <v>0.37403973628558002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0.32002494412895999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7.8524639068150007E-2</v>
      </c>
      <c r="L11" s="11">
        <f t="shared" si="0"/>
        <v>0.39854958319710998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25">
        <v>0</v>
      </c>
      <c r="Z11" s="25">
        <v>0</v>
      </c>
      <c r="AA11" s="25">
        <v>0</v>
      </c>
    </row>
    <row r="12" spans="1:27" x14ac:dyDescent="0.35">
      <c r="A12" s="4" t="s">
        <v>15</v>
      </c>
      <c r="B12" s="8">
        <f>[17]Table3s2!B11</f>
        <v>9.6201893009493293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9.6201893009493293</v>
      </c>
      <c r="I12" s="26">
        <v>0</v>
      </c>
      <c r="J12" s="25">
        <v>0</v>
      </c>
      <c r="K12" s="25">
        <v>0</v>
      </c>
      <c r="L12" s="11">
        <f t="shared" si="0"/>
        <v>9.6201893009493293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25">
        <v>0</v>
      </c>
      <c r="Z12" s="25">
        <v>0</v>
      </c>
      <c r="AA12" s="25">
        <v>0</v>
      </c>
    </row>
    <row r="13" spans="1:27" x14ac:dyDescent="0.35">
      <c r="A13" s="4" t="s">
        <v>16</v>
      </c>
      <c r="B13" s="8">
        <f>[17]Table3s2!B12</f>
        <v>113.18897869760308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113.18897869760308</v>
      </c>
      <c r="I13" s="26">
        <v>0</v>
      </c>
      <c r="J13" s="25">
        <v>0</v>
      </c>
      <c r="K13" s="25">
        <v>0</v>
      </c>
      <c r="L13" s="11">
        <f t="shared" si="0"/>
        <v>113.18897869760308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25">
        <v>0</v>
      </c>
      <c r="Z13" s="25">
        <v>0</v>
      </c>
      <c r="AA13" s="25">
        <v>0</v>
      </c>
    </row>
    <row r="14" spans="1:27" x14ac:dyDescent="0.35">
      <c r="A14" s="4" t="s">
        <v>17</v>
      </c>
      <c r="B14" s="8">
        <f>[17]Table3s2!B13</f>
        <v>91.444383951664051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91.444383951664051</v>
      </c>
      <c r="I14" s="26">
        <v>0</v>
      </c>
      <c r="J14" s="25">
        <v>0</v>
      </c>
      <c r="K14" s="25">
        <v>0</v>
      </c>
      <c r="L14" s="11">
        <f t="shared" si="0"/>
        <v>91.444383951664051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25">
        <v>0</v>
      </c>
      <c r="Z14" s="25">
        <v>0</v>
      </c>
      <c r="AA14" s="25">
        <v>0</v>
      </c>
    </row>
    <row r="15" spans="1:27" x14ac:dyDescent="0.35">
      <c r="A15" s="4" t="s">
        <v>18</v>
      </c>
      <c r="B15" s="8" t="str">
        <f>[17]Table3s2!B14</f>
        <v>NO</v>
      </c>
      <c r="C15" s="14" t="str">
        <f>[17]Table3s2!C14</f>
        <v>NO</v>
      </c>
      <c r="D15" s="14" t="str">
        <f>[17]Table3s2!D14</f>
        <v>NO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25">
        <v>0</v>
      </c>
      <c r="Z15" s="25">
        <v>0</v>
      </c>
      <c r="AA15" s="25">
        <v>0</v>
      </c>
    </row>
    <row r="16" spans="1:27" x14ac:dyDescent="0.35">
      <c r="A16" s="28" t="s">
        <v>8</v>
      </c>
      <c r="B16" s="29">
        <f>[17]Table4!$B$11</f>
        <v>-221.96150828401616</v>
      </c>
      <c r="C16" s="29">
        <f>[17]Summary1.As2!$C$21</f>
        <v>1.6033680000000002E-2</v>
      </c>
      <c r="D16" s="29">
        <f>[17]Summary1.As2!$D$21</f>
        <v>6.9216119173869994E-2</v>
      </c>
      <c r="E16" s="30">
        <v>0</v>
      </c>
      <c r="F16" s="29">
        <f>[17]Summary2!$C$41</f>
        <v>0.40084199999999998</v>
      </c>
      <c r="G16" s="29">
        <f>[17]Summary2!$D$41</f>
        <v>20.626403513813258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-200.93426277020291</v>
      </c>
      <c r="I16" s="32">
        <f>[17]Summary2!$J$41</f>
        <v>-200.93426277020288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0.44894304000000007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18.342271581075547</v>
      </c>
      <c r="L16" s="11">
        <f t="shared" si="2"/>
        <v>-203.17029366294062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-290.44431463979106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0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6.8800431173869997E-2</v>
      </c>
      <c r="P16" s="31">
        <f>N16*'GWP CFs'!$B$3</f>
        <v>0</v>
      </c>
      <c r="Q16" s="31">
        <f>O16*'GWP CFs'!$B$4</f>
        <v>18.232114261075548</v>
      </c>
      <c r="R16" s="33">
        <f>M16+P16+Q16</f>
        <v>-272.21220037871552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1236.9988186935425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2.9556050000000003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1.1053461454595841</v>
      </c>
      <c r="V16" s="31">
        <f>T16*'GWP CFs'!$B$3</f>
        <v>82.756940000000014</v>
      </c>
      <c r="W16" s="31">
        <f>U16*'GWP CFs'!$B$4</f>
        <v>292.91672854678978</v>
      </c>
      <c r="X16" s="33">
        <f>S16+V16+W16</f>
        <v>1612.6724872403322</v>
      </c>
      <c r="Y16" s="29">
        <f>[17]Table4.B!$C$10</f>
        <v>5201.6319755031982</v>
      </c>
      <c r="Z16" s="34">
        <v>0</v>
      </c>
      <c r="AA16" s="30">
        <v>0</v>
      </c>
    </row>
    <row r="17" spans="1:29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-290.44431463979106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6.8800431173869997E-2</v>
      </c>
      <c r="E17" s="9">
        <f>[17]Table4.B!$P$10</f>
        <v>79.212085810852116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20.502528489813258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-269.94178614997782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18.232114261075548</v>
      </c>
      <c r="L17" s="11">
        <f t="shared" si="2"/>
        <v>-272.21220037871552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[17]Table4.B!$D$10</f>
        <v>5201.6319755031982</v>
      </c>
      <c r="Z17" s="25">
        <v>0</v>
      </c>
      <c r="AA17" s="26">
        <v>0</v>
      </c>
    </row>
    <row r="18" spans="1:29" x14ac:dyDescent="0.35">
      <c r="A18" s="22" t="s">
        <v>44</v>
      </c>
      <c r="B18" s="12">
        <v>0</v>
      </c>
      <c r="C18" s="21">
        <v>0</v>
      </c>
      <c r="D18" s="48">
        <f>'[17]Table4(III)'!$D$13</f>
        <v>6.8800431173869997E-2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20.502528489813258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20.502528489813258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18.232114261075548</v>
      </c>
      <c r="L18" s="11">
        <f t="shared" si="2"/>
        <v>18.232114261075548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'[17]Table4(III)'!$B$13</f>
        <v>88.798827600120973</v>
      </c>
      <c r="Z18" s="25">
        <v>0</v>
      </c>
      <c r="AA18" s="26">
        <v>0</v>
      </c>
    </row>
    <row r="19" spans="1:29" x14ac:dyDescent="0.35">
      <c r="A19" s="6" t="s">
        <v>45</v>
      </c>
      <c r="B19" s="49" t="str">
        <f>'[17]Table4(II)'!$G$22</f>
        <v>NO</v>
      </c>
      <c r="C19" s="48" t="str">
        <f>'[17]Table4(II)'!$I$22</f>
        <v>NO</v>
      </c>
      <c r="D19" s="48" t="str">
        <f>'[17]Table4(II)'!$H$22</f>
        <v>NO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'[17]Table4(II)'!$C$22</f>
        <v>NO</v>
      </c>
      <c r="Z19" s="25">
        <v>0</v>
      </c>
      <c r="AA19" s="26">
        <v>0</v>
      </c>
    </row>
    <row r="20" spans="1:29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0</v>
      </c>
      <c r="C20" s="48" t="str">
        <f>'[17]Table4(II)'!$I$18</f>
        <v>NO</v>
      </c>
      <c r="D20" s="25">
        <v>0</v>
      </c>
      <c r="E20" s="9" t="str">
        <f>[17]Table4.B!$Q$10</f>
        <v>NO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0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0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0</v>
      </c>
      <c r="K20" s="25">
        <v>0</v>
      </c>
      <c r="L20" s="11">
        <f t="shared" si="2"/>
        <v>0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B$3*44/12</f>
        <v>0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E$3*44/28000</f>
        <v>0</v>
      </c>
      <c r="P20" s="7">
        <f>N20*'GWP CFs'!$B$3</f>
        <v>0</v>
      </c>
      <c r="Q20" s="18">
        <f>O20*'GWP CFs'!$B$4</f>
        <v>0</v>
      </c>
      <c r="R20" s="11">
        <f>M20+P20+Q20</f>
        <v>0</v>
      </c>
      <c r="S20" s="18">
        <f>AA20*EFs!$B$3*44/12</f>
        <v>1527.4431333333334</v>
      </c>
      <c r="T20" s="18">
        <f>AA20*0.95*EFs!$C$3/1000</f>
        <v>0</v>
      </c>
      <c r="U20" s="11">
        <f>AA20*EFs!$E$3*44/28000</f>
        <v>1.0365457142857142</v>
      </c>
      <c r="V20" s="18">
        <f>T20*'GWP CFs'!$B$3</f>
        <v>0</v>
      </c>
      <c r="W20" s="18">
        <f>U20*'GWP CFs'!$B$4</f>
        <v>274.68461428571425</v>
      </c>
      <c r="X20" s="11">
        <f>S20+V20+W20</f>
        <v>1802.1277476190476</v>
      </c>
      <c r="Y20" s="14" t="str">
        <f>[17]Table4.B!$E$10</f>
        <v>NO</v>
      </c>
      <c r="Z20" s="25">
        <v>0</v>
      </c>
      <c r="AA20" s="39">
        <v>50.74</v>
      </c>
    </row>
    <row r="21" spans="1:29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0.05*EFs!$D$3/1000</f>
        <v>0</v>
      </c>
      <c r="O21" s="26">
        <v>0</v>
      </c>
      <c r="P21" s="7">
        <f>N21*'GWP CFs'!$B$3</f>
        <v>0</v>
      </c>
      <c r="Q21" s="25">
        <v>0</v>
      </c>
      <c r="R21" s="11">
        <f>M21+P21+Q21</f>
        <v>0</v>
      </c>
      <c r="S21" s="25">
        <v>0</v>
      </c>
      <c r="T21" s="18">
        <f>AA20*0.05*EFs!$D$3/1000</f>
        <v>2.9556050000000003</v>
      </c>
      <c r="U21" s="42">
        <v>0</v>
      </c>
      <c r="V21" s="18">
        <f>T21*'GWP CFs'!$B$3</f>
        <v>82.756940000000014</v>
      </c>
      <c r="W21" s="25">
        <v>0</v>
      </c>
      <c r="X21" s="11">
        <f>V21</f>
        <v>82.756940000000014</v>
      </c>
      <c r="Y21" s="25">
        <v>0</v>
      </c>
      <c r="Z21" s="25">
        <v>0</v>
      </c>
      <c r="AA21" s="26">
        <v>0</v>
      </c>
    </row>
    <row r="22" spans="1:29" x14ac:dyDescent="0.35">
      <c r="A22" s="28" t="s">
        <v>7</v>
      </c>
      <c r="B22" s="29">
        <f>[17]Table4!$B$14</f>
        <v>23.898663575287731</v>
      </c>
      <c r="C22" s="29">
        <f>[17]Summary1.As2!$C$22</f>
        <v>1.527676876186E-2</v>
      </c>
      <c r="D22" s="29">
        <f>[17]Summary1.As2!$D$22</f>
        <v>1.3948354086899999E-3</v>
      </c>
      <c r="E22" s="30">
        <v>0</v>
      </c>
      <c r="F22" s="29">
        <f>[17]Summary2!$C$42</f>
        <v>0.3819192190465</v>
      </c>
      <c r="G22" s="29">
        <f>[17]Summary2!$D$42</f>
        <v>0.41566095178961998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24.696243746123852</v>
      </c>
      <c r="I22" s="32">
        <f>[17]Summary2!$J$42</f>
        <v>24.696243746123852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0.42774952533207999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0.36963138330284995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24.696044483922659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-199.30856736675486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0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0</v>
      </c>
      <c r="P22" s="31">
        <f>N22*'GWP CFs'!$B$3</f>
        <v>0</v>
      </c>
      <c r="Q22" s="31">
        <f>O22*'GWP CFs'!$B$4</f>
        <v>0</v>
      </c>
      <c r="R22" s="33">
        <f>M22+P22+Q22</f>
        <v>-199.30856736675486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-89.125234033421535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0.33249999999999996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5.4214285714285715E-2</v>
      </c>
      <c r="V22" s="31">
        <f>T22*'GWP CFs'!$B$3</f>
        <v>9.3099999999999987</v>
      </c>
      <c r="W22" s="31">
        <f>U22*'GWP CFs'!$B$4</f>
        <v>14.366785714285715</v>
      </c>
      <c r="X22" s="33">
        <f>S22+V22+W22</f>
        <v>-65.448448319135821</v>
      </c>
      <c r="Y22" s="29">
        <f>[17]Table4.C!$C$10</f>
        <v>1196.9301705161422</v>
      </c>
      <c r="Z22" s="34">
        <v>0</v>
      </c>
      <c r="AA22" s="30">
        <v>0</v>
      </c>
    </row>
    <row r="23" spans="1:29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-199.30856736675486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0</v>
      </c>
      <c r="E23" s="9">
        <f>[17]Table4.C!$P$10</f>
        <v>54.356882009114962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0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-199.30856736675486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0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-199.30856736675486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[17]Table4.C!$D$10</f>
        <v>1196.9301705161422</v>
      </c>
      <c r="Z23" s="25">
        <v>0</v>
      </c>
      <c r="AA23" s="26">
        <v>0</v>
      </c>
    </row>
    <row r="24" spans="1:29" x14ac:dyDescent="0.35">
      <c r="A24" s="22" t="s">
        <v>44</v>
      </c>
      <c r="B24" s="25">
        <v>0</v>
      </c>
      <c r="C24" s="25">
        <v>0</v>
      </c>
      <c r="D24" s="48" t="str">
        <f>'[17]Table4(III)'!$D$15</f>
        <v>NO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0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0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0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0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>
        <f>'[17]Table4(III)'!$B$15</f>
        <v>1196.9301705161422</v>
      </c>
      <c r="Z24" s="25">
        <v>0</v>
      </c>
      <c r="AA24" s="26">
        <v>0</v>
      </c>
    </row>
    <row r="25" spans="1:29" x14ac:dyDescent="0.35">
      <c r="A25" s="6" t="s">
        <v>45</v>
      </c>
      <c r="B25" s="49" t="str">
        <f>'[17]Table4(II)'!$G$30</f>
        <v>NO</v>
      </c>
      <c r="C25" s="48" t="str">
        <f>'[17]Table4(II)'!$I$30</f>
        <v>NO</v>
      </c>
      <c r="D25" s="48" t="str">
        <f>'[17]Table4(II)'!$H$30</f>
        <v>NO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'[17]Table4(II)'!$C$30</f>
        <v>NO</v>
      </c>
      <c r="Z25" s="25">
        <v>0</v>
      </c>
      <c r="AA25" s="26">
        <v>0</v>
      </c>
    </row>
    <row r="26" spans="1:29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0</v>
      </c>
      <c r="C26" s="48" t="str">
        <f>'[17]Table4(II)'!$I$26</f>
        <v>NO</v>
      </c>
      <c r="D26" s="25">
        <v>0</v>
      </c>
      <c r="E26" s="9" t="str">
        <f>[17]Table4.C!$Q$10</f>
        <v>NO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0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0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0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0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$5*44/12</f>
        <v>0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$5/1000</f>
        <v>0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$5*44/28000</f>
        <v>0</v>
      </c>
      <c r="P26" s="7">
        <f>N26*'GWP CFs'!$B$3</f>
        <v>0</v>
      </c>
      <c r="Q26" s="7">
        <f>O26*'GWP CFs'!$B$4</f>
        <v>0</v>
      </c>
      <c r="R26" s="11">
        <f>M26+P26+Q26</f>
        <v>0</v>
      </c>
      <c r="S26" s="18">
        <f>AA26*EFs!$B$5*44/12</f>
        <v>110.18333333333332</v>
      </c>
      <c r="T26" s="18">
        <f>AA26*0.95*EFs!$C$5/1000</f>
        <v>8.0750000000000002E-2</v>
      </c>
      <c r="U26" s="11">
        <f>AA26*EFs!$E$5*44/28000</f>
        <v>5.4214285714285715E-2</v>
      </c>
      <c r="V26" s="18">
        <f>T26*'GWP CFs'!$B$3</f>
        <v>2.2610000000000001</v>
      </c>
      <c r="W26" s="18">
        <f>U26*'GWP CFs'!$B$4</f>
        <v>14.366785714285715</v>
      </c>
      <c r="X26" s="11">
        <f>S26+V26+W26</f>
        <v>126.81111904761903</v>
      </c>
      <c r="Y26" s="14" t="str">
        <f>[17]Table4.C!$E$10</f>
        <v>NO</v>
      </c>
      <c r="Z26" s="25">
        <v>0</v>
      </c>
      <c r="AA26" s="39">
        <v>5</v>
      </c>
    </row>
    <row r="27" spans="1:29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$5/1000</f>
        <v>0</v>
      </c>
      <c r="O27" s="10">
        <v>0</v>
      </c>
      <c r="P27" s="7">
        <f>N27*'GWP CFs'!$B$3</f>
        <v>0</v>
      </c>
      <c r="Q27" s="21">
        <v>0</v>
      </c>
      <c r="R27" s="11">
        <f>P27</f>
        <v>0</v>
      </c>
      <c r="S27" s="25">
        <v>0</v>
      </c>
      <c r="T27" s="18">
        <f>AA26*0.05*EFs!$D$5/1000</f>
        <v>0.25174999999999997</v>
      </c>
      <c r="U27" s="26">
        <v>0</v>
      </c>
      <c r="V27" s="18">
        <f>T27*'GWP CFs'!$B$3</f>
        <v>7.0489999999999995</v>
      </c>
      <c r="W27" s="25">
        <v>0</v>
      </c>
      <c r="X27" s="11">
        <f>V27</f>
        <v>7.0489999999999995</v>
      </c>
      <c r="Y27" s="25">
        <v>0</v>
      </c>
      <c r="Z27" s="25">
        <v>0</v>
      </c>
      <c r="AA27" s="26">
        <v>0</v>
      </c>
      <c r="AC27" s="82"/>
    </row>
    <row r="28" spans="1:29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0</v>
      </c>
      <c r="T28" s="31">
        <f>T29+T30</f>
        <v>0</v>
      </c>
      <c r="U28" s="33">
        <f>U29</f>
        <v>0</v>
      </c>
      <c r="V28" s="31">
        <f>V29+V30</f>
        <v>0</v>
      </c>
      <c r="W28" s="31">
        <f>W29</f>
        <v>0</v>
      </c>
      <c r="X28" s="33">
        <f>X29+X30</f>
        <v>0</v>
      </c>
      <c r="Y28" s="34">
        <v>0</v>
      </c>
      <c r="Z28" s="34">
        <v>0</v>
      </c>
      <c r="AA28" s="30">
        <v>0</v>
      </c>
    </row>
    <row r="29" spans="1:29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0</v>
      </c>
      <c r="T29" s="18">
        <f>AA29*0.95*EFs!$C$9/1000</f>
        <v>0</v>
      </c>
      <c r="U29" s="11">
        <f>AA29*EFs!$E$9*44/28000</f>
        <v>0</v>
      </c>
      <c r="V29" s="18">
        <f>T29*'GWP CFs'!$B$3</f>
        <v>0</v>
      </c>
      <c r="W29" s="18">
        <f>U29*'GWP CFs'!$B$4</f>
        <v>0</v>
      </c>
      <c r="X29" s="11">
        <f>S29+V29+W29</f>
        <v>0</v>
      </c>
      <c r="Y29" s="25">
        <v>0</v>
      </c>
      <c r="Z29" s="25">
        <v>0</v>
      </c>
      <c r="AA29" s="39">
        <v>0</v>
      </c>
    </row>
    <row r="30" spans="1:29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0</v>
      </c>
      <c r="U30" s="42">
        <v>0</v>
      </c>
      <c r="V30" s="44">
        <f>T30*'GWP CFs'!$B$3</f>
        <v>0</v>
      </c>
      <c r="W30" s="90">
        <v>0</v>
      </c>
      <c r="X30" s="46">
        <f>V30</f>
        <v>0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6" sqref="C6"/>
    </sheetView>
  </sheetViews>
  <sheetFormatPr baseColWidth="10" defaultRowHeight="14.5" x14ac:dyDescent="0.35"/>
  <sheetData>
    <row r="1" spans="1:3" x14ac:dyDescent="0.35">
      <c r="A1" t="s">
        <v>37</v>
      </c>
      <c r="B1" t="s">
        <v>38</v>
      </c>
      <c r="C1" t="s">
        <v>39</v>
      </c>
    </row>
    <row r="2" spans="1:3" x14ac:dyDescent="0.35">
      <c r="A2" t="s">
        <v>26</v>
      </c>
      <c r="B2" s="27">
        <v>1</v>
      </c>
      <c r="C2" s="27">
        <v>1</v>
      </c>
    </row>
    <row r="3" spans="1:3" x14ac:dyDescent="0.35">
      <c r="A3" t="s">
        <v>27</v>
      </c>
      <c r="B3" s="27">
        <v>28</v>
      </c>
      <c r="C3" s="27">
        <v>25</v>
      </c>
    </row>
    <row r="4" spans="1:3" x14ac:dyDescent="0.35">
      <c r="A4" t="s">
        <v>29</v>
      </c>
      <c r="B4" s="27">
        <v>265</v>
      </c>
      <c r="C4" s="27">
        <v>298</v>
      </c>
    </row>
    <row r="5" spans="1:3" x14ac:dyDescent="0.35">
      <c r="B5" t="s">
        <v>38</v>
      </c>
      <c r="C5" t="s">
        <v>122</v>
      </c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zoomScale="77" zoomScaleNormal="60" workbookViewId="0">
      <selection activeCell="W26" sqref="W26"/>
    </sheetView>
  </sheetViews>
  <sheetFormatPr baseColWidth="10" defaultRowHeight="14.5" x14ac:dyDescent="0.35"/>
  <cols>
    <col min="1" max="1" width="47.26953125" customWidth="1"/>
  </cols>
  <sheetData>
    <row r="1" spans="1:27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2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[18]Summary1.As1!$B$7</f>
        <v>42236.655196004896</v>
      </c>
      <c r="C3" s="8">
        <f>[18]Summary1.As1!$C$7</f>
        <v>577.79435254181794</v>
      </c>
      <c r="D3" s="14">
        <f>[18]Summary1.As1!$D$7</f>
        <v>24.692120611360021</v>
      </c>
      <c r="E3" s="26">
        <v>0</v>
      </c>
      <c r="F3" s="8">
        <f>[18]Summary2!C7</f>
        <v>14444.858813545448</v>
      </c>
      <c r="G3" s="8">
        <f>[18]Summary2!D7</f>
        <v>7358.2519421852858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64039.76595173563</v>
      </c>
      <c r="I3" s="9">
        <f>[18]Summary2!$J$7</f>
        <v>65232.228571356602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16178.241871170903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6543.4119620104057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64958.309029186203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[18]Summary1.As2!$B$8</f>
        <v>546.21438666666666</v>
      </c>
      <c r="C4" s="29">
        <f>[18]Summary1.As2!$C$8</f>
        <v>518.80354110978419</v>
      </c>
      <c r="D4" s="29">
        <f>[18]Summary1.As2!$D$8</f>
        <v>21.599889415669431</v>
      </c>
      <c r="E4" s="30">
        <v>0</v>
      </c>
      <c r="F4" s="29">
        <f>[18]Summary2!$C$28</f>
        <v>12970.088527744603</v>
      </c>
      <c r="G4" s="29">
        <f>[18]Summary2!$D$28</f>
        <v>6436.7670458694902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19953.069960280758</v>
      </c>
      <c r="I4" s="32">
        <f>[18]Summary2!$J$28</f>
        <v>19953.069960280762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14526.499151073956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5723.9706951523995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20796.684232893022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25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[18]Summary1.As2!$C$9</f>
        <v>461.72828328791047</v>
      </c>
      <c r="D5" s="21">
        <v>0</v>
      </c>
      <c r="E5" s="26">
        <v>0</v>
      </c>
      <c r="F5" s="8">
        <f>[18]Summary2!$C$29</f>
        <v>11543.207082197763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11543.207082197763</v>
      </c>
      <c r="I5" s="14">
        <f>[18]Summary2!$J$29</f>
        <v>11543.207082197763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12928.391932061493</v>
      </c>
      <c r="K5" s="25">
        <v>0</v>
      </c>
      <c r="L5" s="11">
        <f t="shared" si="0"/>
        <v>12928.391932061493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25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[18]Summary1.As2!$C$10</f>
        <v>57.075257821873649</v>
      </c>
      <c r="D6" s="14">
        <f>[18]Summary1.As2!$D$10</f>
        <v>1.8216502075598999</v>
      </c>
      <c r="E6" s="26">
        <v>0</v>
      </c>
      <c r="F6" s="8">
        <f>[18]Summary2!C30</f>
        <v>1426.8814455468412</v>
      </c>
      <c r="G6" s="14">
        <f>[18]Summary2!D30</f>
        <v>542.85176185285025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1969.7332073996913</v>
      </c>
      <c r="I6" s="14">
        <f>[18]Summary2!$J$30</f>
        <v>1969.7332073996915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1598.1072190124621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482.73730500337348</v>
      </c>
      <c r="L6" s="11">
        <f t="shared" si="0"/>
        <v>2080.8445240158358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25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 t="str">
        <f>[18]Table3s2!$C$7</f>
        <v>NO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0</v>
      </c>
      <c r="G7" s="25">
        <v>0</v>
      </c>
      <c r="H7" s="7">
        <f t="shared" si="1"/>
        <v>0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0</v>
      </c>
      <c r="K7" s="25">
        <v>0</v>
      </c>
      <c r="L7" s="11">
        <f t="shared" si="0"/>
        <v>0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25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[18]Summary1.As2!$C$12</f>
        <v>NE</v>
      </c>
      <c r="D8" s="14">
        <f>[18]Summary1.As2!$D$12</f>
        <v>19.778239208109529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[18]Summary2!$D$32</f>
        <v>5893.9152840166398</v>
      </c>
      <c r="H8" s="7">
        <f t="shared" si="1"/>
        <v>5893.9152840166398</v>
      </c>
      <c r="I8" s="9">
        <f>[18]Summary2!$J$32</f>
        <v>5893.9152840166398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5241.2333901490256</v>
      </c>
      <c r="L8" s="11">
        <f t="shared" si="0"/>
        <v>5241.2333901490256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25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>
        <f>[18]Table3.D!$E$17</f>
        <v>2.2471320452900101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669.64534949642302</v>
      </c>
      <c r="H9" s="7">
        <f t="shared" si="1"/>
        <v>669.64534949642302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595.48999200185267</v>
      </c>
      <c r="L9" s="11">
        <f t="shared" si="0"/>
        <v>595.48999200185267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8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332.55653947209436</v>
      </c>
      <c r="Z9" s="14">
        <f>[18]Table3.D!$C$17</f>
        <v>332556.53947209433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[18]Table3s2!C9</f>
        <v>NO</v>
      </c>
      <c r="D10" s="14" t="str">
        <f>[18]Table3s2!D9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25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 t="str">
        <f>[18]Table3s2!C10</f>
        <v>NO</v>
      </c>
      <c r="D11" s="14" t="str">
        <f>[18]Table3s2!D10</f>
        <v>NO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0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0</v>
      </c>
      <c r="H11" s="7">
        <f t="shared" si="1"/>
        <v>0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0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0</v>
      </c>
      <c r="L11" s="11">
        <f t="shared" si="0"/>
        <v>0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25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>
        <f>[18]Table3s2!B11</f>
        <v>457.45171999999997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457.45171999999997</v>
      </c>
      <c r="I12" s="26">
        <v>0</v>
      </c>
      <c r="J12" s="25">
        <v>0</v>
      </c>
      <c r="K12" s="25">
        <v>0</v>
      </c>
      <c r="L12" s="11">
        <f t="shared" si="0"/>
        <v>457.45171999999997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25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>
        <f>[18]Table3s2!B12</f>
        <v>88.762666666666675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88.762666666666675</v>
      </c>
      <c r="I13" s="26">
        <v>0</v>
      </c>
      <c r="J13" s="25">
        <v>0</v>
      </c>
      <c r="K13" s="25">
        <v>0</v>
      </c>
      <c r="L13" s="11">
        <f t="shared" si="0"/>
        <v>88.762666666666675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25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 t="str">
        <f>[18]Table3s2!B13</f>
        <v>NO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25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[18]Table3s2!B14</f>
        <v>NO</v>
      </c>
      <c r="C15" s="14" t="str">
        <f>[18]Table3s2!C14</f>
        <v>NO</v>
      </c>
      <c r="D15" s="14" t="str">
        <f>[18]Table3s2!D14</f>
        <v>NO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25">
        <v>0</v>
      </c>
      <c r="Z15" s="25">
        <v>0</v>
      </c>
      <c r="AA15" s="26">
        <v>0</v>
      </c>
    </row>
    <row r="16" spans="1:27" x14ac:dyDescent="0.35">
      <c r="A16" s="28" t="s">
        <v>8</v>
      </c>
      <c r="B16" s="29">
        <f>[18]Table4!$B$11</f>
        <v>-160.48656892612871</v>
      </c>
      <c r="C16" s="29">
        <f>[18]Summary1.As2!$C$21</f>
        <v>8.0999999999999996E-4</v>
      </c>
      <c r="D16" s="29">
        <f>[18]Summary1.As2!$D$21</f>
        <v>2.0999999999999999E-5</v>
      </c>
      <c r="E16" s="30">
        <v>0</v>
      </c>
      <c r="F16" s="29">
        <f>[18]Summary2!$C$41</f>
        <v>2.0250000000000001E-2</v>
      </c>
      <c r="G16" s="29">
        <f>[18]Summary2!$D$41</f>
        <v>6.2579999999999997E-3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-160.4600609261287</v>
      </c>
      <c r="I16" s="32">
        <f>[18]Summary2!$J$41</f>
        <v>-160.46006092612873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2.2679999999999999E-2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5.5649999999999996E-3</v>
      </c>
      <c r="L16" s="11">
        <f t="shared" si="2"/>
        <v>-160.45832392612871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-105.03582489510183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0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0</v>
      </c>
      <c r="P16" s="31">
        <f>N16*'GWP CFs'!$B$3</f>
        <v>0</v>
      </c>
      <c r="Q16" s="31">
        <f>O16*'GWP CFs'!$B$4</f>
        <v>0</v>
      </c>
      <c r="R16" s="33">
        <f>M16+P16+Q16</f>
        <v>-105.03582489510183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-105.03582489510183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0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0</v>
      </c>
      <c r="V16" s="31">
        <f>T16*'GWP CFs'!$B$3</f>
        <v>0</v>
      </c>
      <c r="W16" s="31">
        <f>U16*'GWP CFs'!$B$4</f>
        <v>0</v>
      </c>
      <c r="X16" s="33">
        <f>S16+V16+W16</f>
        <v>-105.03582489510183</v>
      </c>
      <c r="Y16" s="29">
        <f>[18]Table4.B!$C$10</f>
        <v>780.38017439688019</v>
      </c>
      <c r="Z16" s="34">
        <v>0</v>
      </c>
      <c r="AA16" s="30">
        <v>0</v>
      </c>
    </row>
    <row r="17" spans="1:29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-105.03582489510183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0</v>
      </c>
      <c r="E17" s="9">
        <f>[18]Table4.B!$P$10</f>
        <v>28.646134062300501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0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-105.03582489510183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0</v>
      </c>
      <c r="L17" s="11">
        <f t="shared" si="2"/>
        <v>-105.03582489510183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[18]Table4.B!$D$10</f>
        <v>780.38017439688019</v>
      </c>
      <c r="Z17" s="25">
        <v>0</v>
      </c>
      <c r="AA17" s="26">
        <v>0</v>
      </c>
    </row>
    <row r="18" spans="1:29" x14ac:dyDescent="0.35">
      <c r="A18" s="22" t="s">
        <v>44</v>
      </c>
      <c r="B18" s="12">
        <v>0</v>
      </c>
      <c r="C18" s="21">
        <v>0</v>
      </c>
      <c r="D18" s="48" t="str">
        <f>'[18]Table4(III)'!$D$13</f>
        <v>NO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0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0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0</v>
      </c>
      <c r="L18" s="11">
        <f t="shared" si="2"/>
        <v>0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 t="str">
        <f>'[18]Table4(III)'!$B$13</f>
        <v>NO</v>
      </c>
      <c r="Z18" s="25">
        <v>0</v>
      </c>
      <c r="AA18" s="26">
        <v>0</v>
      </c>
    </row>
    <row r="19" spans="1:29" x14ac:dyDescent="0.35">
      <c r="A19" s="6" t="s">
        <v>45</v>
      </c>
      <c r="B19" s="49" t="str">
        <f>'[18]Table4(II)'!$G$22</f>
        <v>NO</v>
      </c>
      <c r="C19" s="48" t="str">
        <f>'[18]Table4(II)'!$I$22</f>
        <v>NO</v>
      </c>
      <c r="D19" s="48" t="str">
        <f>'[18]Table4(II)'!$H$22</f>
        <v>NO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'[18]Table4(II)'!$C$22</f>
        <v>NO</v>
      </c>
      <c r="Z19" s="25">
        <v>0</v>
      </c>
      <c r="AA19" s="26">
        <v>0</v>
      </c>
    </row>
    <row r="20" spans="1:29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0</v>
      </c>
      <c r="C20" s="48" t="str">
        <f>'[18]Table4(II)'!$I$18</f>
        <v>NO</v>
      </c>
      <c r="D20" s="25">
        <v>0</v>
      </c>
      <c r="E20" s="9" t="str">
        <f>[18]Table4.B!$Q$10</f>
        <v>NO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0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0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0</v>
      </c>
      <c r="K20" s="25">
        <v>0</v>
      </c>
      <c r="L20" s="11">
        <f t="shared" si="2"/>
        <v>0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B$3*44/12</f>
        <v>0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E$3*44/28000</f>
        <v>0</v>
      </c>
      <c r="P20" s="7">
        <f>N20*'GWP CFs'!$B$3</f>
        <v>0</v>
      </c>
      <c r="Q20" s="18">
        <f>O20*'GWP CFs'!$B$4</f>
        <v>0</v>
      </c>
      <c r="R20" s="11">
        <f>M20+P20+Q20</f>
        <v>0</v>
      </c>
      <c r="S20" s="18">
        <f>AA20*EFs!$B$3*44/12</f>
        <v>0</v>
      </c>
      <c r="T20" s="18">
        <f>AA20*0.95*EFs!$C$3/1000</f>
        <v>0</v>
      </c>
      <c r="U20" s="11">
        <f>AA20*EFs!$E$3*44/28000</f>
        <v>0</v>
      </c>
      <c r="V20" s="18">
        <f>T20*'GWP CFs'!$B$3</f>
        <v>0</v>
      </c>
      <c r="W20" s="18">
        <f>U20*'GWP CFs'!$B$4</f>
        <v>0</v>
      </c>
      <c r="X20" s="11">
        <f>S20+V20+W20</f>
        <v>0</v>
      </c>
      <c r="Y20" s="48" t="str">
        <f>[18]Table4.B!$E$10</f>
        <v>NO</v>
      </c>
      <c r="Z20" s="25">
        <v>0</v>
      </c>
      <c r="AA20" s="39">
        <v>0</v>
      </c>
    </row>
    <row r="21" spans="1:29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0.05*EFs!$D$3/1000</f>
        <v>0</v>
      </c>
      <c r="O21" s="26">
        <v>0</v>
      </c>
      <c r="P21" s="7">
        <f>N21*'GWP CFs'!$B$3</f>
        <v>0</v>
      </c>
      <c r="Q21" s="25">
        <v>0</v>
      </c>
      <c r="R21" s="11">
        <f>M21+P21+Q21</f>
        <v>0</v>
      </c>
      <c r="S21" s="25">
        <v>0</v>
      </c>
      <c r="T21" s="18">
        <f>AA20*0.05*EFs!$D$3/1000</f>
        <v>0</v>
      </c>
      <c r="U21" s="42">
        <v>0</v>
      </c>
      <c r="V21" s="18">
        <f>T21*'GWP CFs'!$B$3</f>
        <v>0</v>
      </c>
      <c r="W21" s="25">
        <v>0</v>
      </c>
      <c r="X21" s="11">
        <f>V21</f>
        <v>0</v>
      </c>
      <c r="Y21" s="25">
        <v>0</v>
      </c>
      <c r="Z21" s="25">
        <v>0</v>
      </c>
      <c r="AA21" s="26">
        <v>0</v>
      </c>
    </row>
    <row r="22" spans="1:29" x14ac:dyDescent="0.35">
      <c r="A22" s="28" t="s">
        <v>7</v>
      </c>
      <c r="B22" s="29">
        <f>[18]Table4!$B$14</f>
        <v>6630.5420365918262</v>
      </c>
      <c r="C22" s="29">
        <f>[18]Summary1.As2!$C$22</f>
        <v>10.253183430470131</v>
      </c>
      <c r="D22" s="29">
        <f>[18]Summary1.As2!$D$22</f>
        <v>0.27330286549295002</v>
      </c>
      <c r="E22" s="30">
        <v>0</v>
      </c>
      <c r="F22" s="29">
        <f>[18]Summary2!$C$42</f>
        <v>256.32958576175326</v>
      </c>
      <c r="G22" s="29">
        <f>[18]Summary2!$D$42</f>
        <v>81.4442539168991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6968.3158762704788</v>
      </c>
      <c r="I22" s="32">
        <f>[18]Summary2!$J$42</f>
        <v>6968.3158762704788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287.08913605316366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72.425259355631752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6990.0564320006215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2322.9191032193576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31.861644984479433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1.9379252887168177</v>
      </c>
      <c r="P22" s="31">
        <f>N22*'GWP CFs'!$B$3</f>
        <v>892.12605956542416</v>
      </c>
      <c r="Q22" s="31">
        <f>O22*'GWP CFs'!$B$4</f>
        <v>513.55020150995665</v>
      </c>
      <c r="R22" s="33">
        <f>M22+P22+Q22</f>
        <v>3728.5953642947379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2322.8854501877122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31.861401000000001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1.9379124685142857</v>
      </c>
      <c r="V22" s="31">
        <f>T22*'GWP CFs'!$B$3</f>
        <v>892.11922800000002</v>
      </c>
      <c r="W22" s="31">
        <f>U22*'GWP CFs'!$B$4</f>
        <v>513.5468041562857</v>
      </c>
      <c r="X22" s="33">
        <f>S22+V22+W22</f>
        <v>3728.551482343998</v>
      </c>
      <c r="Y22" s="29">
        <f>[18]Table4.C!$C$10</f>
        <v>4155.807648914174</v>
      </c>
      <c r="Z22" s="34">
        <v>0</v>
      </c>
      <c r="AA22" s="30">
        <v>0</v>
      </c>
    </row>
    <row r="23" spans="1:29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-2071.7905498122882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0.26375018280000001</v>
      </c>
      <c r="E23" s="9">
        <f>[18]Table4.C!$P$10</f>
        <v>565.03378631244232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78.597554474399999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-1993.1929953378881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69.893798442000005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-2001.8967513702883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[18]Table4.C!$D$10</f>
        <v>3822.8750994420802</v>
      </c>
      <c r="Z23" s="25">
        <v>0</v>
      </c>
      <c r="AA23" s="26">
        <v>0</v>
      </c>
    </row>
    <row r="24" spans="1:29" x14ac:dyDescent="0.35">
      <c r="A24" s="22" t="s">
        <v>44</v>
      </c>
      <c r="B24" s="25">
        <v>0</v>
      </c>
      <c r="C24" s="25">
        <v>0</v>
      </c>
      <c r="D24" s="48">
        <f>'[18]Table4(III)'!$D$15</f>
        <v>0.26375018280000001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78.597554474399999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78.597554474399999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69.893798442000005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69.893798442000005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>
        <f>'[18]Table4(III)'!$B$15</f>
        <v>5.1242999999999999</v>
      </c>
      <c r="Z24" s="25">
        <v>0</v>
      </c>
      <c r="AA24" s="26">
        <v>0</v>
      </c>
    </row>
    <row r="25" spans="1:29" x14ac:dyDescent="0.35">
      <c r="A25" s="6" t="s">
        <v>45</v>
      </c>
      <c r="B25" s="49" t="str">
        <f>'[18]Table4(II)'!$G$32</f>
        <v>NO</v>
      </c>
      <c r="C25" s="48" t="str">
        <f>'[18]Table4(II)'!$I$32</f>
        <v>NO</v>
      </c>
      <c r="D25" s="48" t="str">
        <f>'[18]Table4(II)'!$H$32</f>
        <v>NO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'[18]Table4(II)'!$C$32</f>
        <v>NO</v>
      </c>
      <c r="Z25" s="25">
        <v>0</v>
      </c>
      <c r="AA25" s="26">
        <v>0</v>
      </c>
    </row>
    <row r="26" spans="1:29" x14ac:dyDescent="0.35">
      <c r="A26" s="6" t="s">
        <v>24</v>
      </c>
      <c r="B26" s="49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+'[19]Table4(II)'!$G$26</f>
        <v>8690.4645278026255</v>
      </c>
      <c r="C26" s="48">
        <f>'[18]Table4(II)'!$I$26</f>
        <v>9.8842322439622095</v>
      </c>
      <c r="D26" s="25">
        <v>0</v>
      </c>
      <c r="E26" s="9">
        <f>[18]Table4.C!$Q$10</f>
        <v>-2263.860369157303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247.10580609905523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8937.57033390168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276.75850283094189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8967.2230306335678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$16*44/12</f>
        <v>4394.7096530316458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$16/1000</f>
        <v>23.088872305889744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$16*44/28000</f>
        <v>1.6741751059168177</v>
      </c>
      <c r="P26" s="7">
        <f>N26*'GWP CFs'!$B$3</f>
        <v>646.48842456491286</v>
      </c>
      <c r="Q26" s="7">
        <f>O26*'GWP CFs'!$B$4</f>
        <v>443.65640306795672</v>
      </c>
      <c r="R26" s="11">
        <f>M26+P26+Q26</f>
        <v>5484.854480664515</v>
      </c>
      <c r="S26" s="18">
        <f>AA26*EFs!$B$16*44/12</f>
        <v>4394.6760000000004</v>
      </c>
      <c r="T26" s="18">
        <f>AA26*0.95*EFs!$C$16/1000</f>
        <v>23.0886955</v>
      </c>
      <c r="U26" s="11">
        <f>((AA26)*EFs!$E$16*44/28000)</f>
        <v>1.6741622857142857</v>
      </c>
      <c r="V26" s="18">
        <f>T26*'GWP CFs'!$B$3</f>
        <v>646.483474</v>
      </c>
      <c r="W26" s="18">
        <f>U26*'GWP CFs'!$B$4</f>
        <v>443.65300571428571</v>
      </c>
      <c r="X26" s="11">
        <f>S26+V26+W26</f>
        <v>5484.8124797142855</v>
      </c>
      <c r="Y26" s="14">
        <f>[18]Table4.C!$E$10</f>
        <v>332.93254947209437</v>
      </c>
      <c r="Z26" s="25">
        <v>0</v>
      </c>
      <c r="AA26" s="39">
        <v>332.93</v>
      </c>
      <c r="AC26" s="82"/>
    </row>
    <row r="27" spans="1:29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$16/1000</f>
        <v>8.7727726785896891</v>
      </c>
      <c r="O27" s="10">
        <v>0</v>
      </c>
      <c r="P27" s="7">
        <f>N27*'GWP CFs'!$B$3</f>
        <v>245.6376350005113</v>
      </c>
      <c r="Q27" s="21">
        <v>0</v>
      </c>
      <c r="R27" s="11">
        <f>P27</f>
        <v>245.6376350005113</v>
      </c>
      <c r="S27" s="25">
        <v>0</v>
      </c>
      <c r="T27" s="18">
        <f>((AA26)*0.05*EFs!$D$16/1000)</f>
        <v>8.7727055000000007</v>
      </c>
      <c r="U27" s="26">
        <v>0</v>
      </c>
      <c r="V27" s="18">
        <f>T27*'GWP CFs'!$B$3</f>
        <v>245.63575400000002</v>
      </c>
      <c r="W27" s="25">
        <v>0</v>
      </c>
      <c r="X27" s="11">
        <f>V27</f>
        <v>245.63575400000002</v>
      </c>
      <c r="Y27" s="25">
        <v>0</v>
      </c>
      <c r="Z27" s="25">
        <v>0</v>
      </c>
      <c r="AA27" s="26">
        <v>0</v>
      </c>
      <c r="AC27" s="52"/>
    </row>
    <row r="28" spans="1:29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0</v>
      </c>
      <c r="T28" s="31">
        <f>T29+T30</f>
        <v>0</v>
      </c>
      <c r="U28" s="33">
        <f>U29</f>
        <v>0</v>
      </c>
      <c r="V28" s="31">
        <f>V29+V30</f>
        <v>0</v>
      </c>
      <c r="W28" s="31">
        <f>W29</f>
        <v>0</v>
      </c>
      <c r="X28" s="33">
        <f>X29+X30</f>
        <v>0</v>
      </c>
      <c r="Y28" s="34">
        <v>0</v>
      </c>
      <c r="Z28" s="34">
        <v>0</v>
      </c>
      <c r="AA28" s="30">
        <v>0</v>
      </c>
      <c r="AC28" s="13"/>
    </row>
    <row r="29" spans="1:29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AA29*EFs!$B$16*44/12</f>
        <v>0</v>
      </c>
      <c r="T29" s="18">
        <f>AA29*0.95*EFs!$C$16/1000</f>
        <v>0</v>
      </c>
      <c r="U29" s="11">
        <f>AA29*EFs!$E$16*44/28000</f>
        <v>0</v>
      </c>
      <c r="V29" s="18">
        <f>T29*'GWP CFs'!$B$3</f>
        <v>0</v>
      </c>
      <c r="W29" s="18">
        <f>U29*'GWP CFs'!$B$4</f>
        <v>0</v>
      </c>
      <c r="X29" s="11">
        <f>S29+V29+W29</f>
        <v>0</v>
      </c>
      <c r="Y29" s="25">
        <v>0</v>
      </c>
      <c r="Z29" s="25">
        <v>0</v>
      </c>
      <c r="AA29" s="39"/>
    </row>
    <row r="30" spans="1:29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AA29*0.05*EFs!$D$16/1000</f>
        <v>0</v>
      </c>
      <c r="U30" s="42">
        <v>0</v>
      </c>
      <c r="V30" s="44">
        <f>T30*'GWP CFs'!$B$3</f>
        <v>0</v>
      </c>
      <c r="W30" s="90">
        <v>0</v>
      </c>
      <c r="X30" s="46">
        <f>V30</f>
        <v>0</v>
      </c>
      <c r="Y30" s="90">
        <v>0</v>
      </c>
      <c r="Z30" s="90">
        <v>0</v>
      </c>
      <c r="AA30" s="42">
        <v>0</v>
      </c>
    </row>
    <row r="32" spans="1:29" x14ac:dyDescent="0.35">
      <c r="T32" s="82"/>
      <c r="V32" s="82"/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zoomScale="60" zoomScaleNormal="60" workbookViewId="0">
      <selection activeCell="A30" sqref="A30:AA30"/>
    </sheetView>
  </sheetViews>
  <sheetFormatPr baseColWidth="10" defaultRowHeight="14.5" x14ac:dyDescent="0.35"/>
  <cols>
    <col min="1" max="1" width="47.453125" customWidth="1"/>
  </cols>
  <sheetData>
    <row r="1" spans="1:27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2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[20]Summary1.As1!$B$7</f>
        <v>311175.6243917399</v>
      </c>
      <c r="C3" s="8">
        <f>[20]Summary1.As1!$C$7</f>
        <v>1728.1264557594689</v>
      </c>
      <c r="D3" s="14">
        <f>[20]Summary1.As1!$D$7</f>
        <v>60.96594557924228</v>
      </c>
      <c r="E3" s="26">
        <v>0</v>
      </c>
      <c r="F3" s="8">
        <f>[20]Summary2!C7</f>
        <v>43203.161393986724</v>
      </c>
      <c r="G3" s="8">
        <f>[20]Summary2!D7</f>
        <v>18167.851782614198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372546.63756834081</v>
      </c>
      <c r="I3" s="9">
        <f>[20]Summary2!$J$7</f>
        <v>391263.13047851663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48387.540761265125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16155.975578499205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375719.14073150425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[20]Summary1.As2!$B$8</f>
        <v>420.70838150000003</v>
      </c>
      <c r="C4" s="29">
        <f>[20]Summary1.As2!$C$8</f>
        <v>770.01293585603457</v>
      </c>
      <c r="D4" s="29">
        <f>[20]Summary1.As2!$D$8</f>
        <v>35.287087081669277</v>
      </c>
      <c r="E4" s="30">
        <v>0</v>
      </c>
      <c r="F4" s="29">
        <f>[20]Summary2!$C$28</f>
        <v>19250.323396400865</v>
      </c>
      <c r="G4" s="29">
        <f>[20]Summary2!$D$28</f>
        <v>10515.551950337445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30186.583728238311</v>
      </c>
      <c r="I4" s="32">
        <f>[20]Summary2!$J$28</f>
        <v>30186.583728238311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21560.362203968969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9351.0780766423577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31332.148662111329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25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[20]Summary1.As2!$C$9</f>
        <v>568.09031133770804</v>
      </c>
      <c r="D5" s="21">
        <v>0</v>
      </c>
      <c r="E5" s="26">
        <v>0</v>
      </c>
      <c r="F5" s="8">
        <f>[20]Summary2!$C$29</f>
        <v>14202.257783442701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14202.257783442701</v>
      </c>
      <c r="I5" s="14">
        <f>[20]Summary2!$J$29</f>
        <v>14202.257783442701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15906.528717455825</v>
      </c>
      <c r="K5" s="25">
        <v>0</v>
      </c>
      <c r="L5" s="11">
        <f t="shared" si="0"/>
        <v>15906.528717455825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25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[20]Summary1.As2!$C$10</f>
        <v>139.20356603558625</v>
      </c>
      <c r="D6" s="14">
        <f>[20]Summary1.As2!$D$10</f>
        <v>7.3486656141648004</v>
      </c>
      <c r="E6" s="26">
        <v>0</v>
      </c>
      <c r="F6" s="8">
        <f>[20]Summary2!C30</f>
        <v>3480.0891508896566</v>
      </c>
      <c r="G6" s="14">
        <f>[20]Summary2!D30</f>
        <v>2189.9023530211102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5669.9915039107673</v>
      </c>
      <c r="I6" s="14">
        <f>[20]Summary2!$J$30</f>
        <v>5669.9915039107673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3897.6998489964149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1947.3963877536721</v>
      </c>
      <c r="L6" s="11">
        <f t="shared" si="0"/>
        <v>5845.096236750087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25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>
        <f>[20]Table3s2!$C$7</f>
        <v>62.121722220615702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1553.0430555153926</v>
      </c>
      <c r="G7" s="25">
        <v>0</v>
      </c>
      <c r="H7" s="7">
        <f t="shared" si="1"/>
        <v>1553.0430555153926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1739.4082221772396</v>
      </c>
      <c r="K7" s="25">
        <v>0</v>
      </c>
      <c r="L7" s="11">
        <f t="shared" si="0"/>
        <v>1739.4082221772396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25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[20]Summary1.As2!$C$12</f>
        <v>NE</v>
      </c>
      <c r="D8" s="14">
        <f>[20]Summary1.As2!$D$12</f>
        <v>27.925633064220431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[20]Summary2!$D$32</f>
        <v>8321.8386531376873</v>
      </c>
      <c r="H8" s="7">
        <f t="shared" si="1"/>
        <v>8321.8386531376873</v>
      </c>
      <c r="I8" s="9">
        <f>[20]Summary2!$J$32</f>
        <v>8321.8386531376873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7400.2927620184146</v>
      </c>
      <c r="L8" s="11">
        <f t="shared" si="0"/>
        <v>7400.2927620184146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25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>
        <f>[20]Table3.D!$E$17</f>
        <v>0.2922522152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87.091160129599999</v>
      </c>
      <c r="H9" s="7">
        <f t="shared" si="1"/>
        <v>87.091160129599999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77.446837028000004</v>
      </c>
      <c r="L9" s="11">
        <f t="shared" si="0"/>
        <v>77.446837028000004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8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23.2473353</v>
      </c>
      <c r="Z9" s="14">
        <f>[20]Table3.D!$C$17</f>
        <v>23247.335299999999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[20]Table3s2!C9</f>
        <v>NO</v>
      </c>
      <c r="D10" s="14" t="str">
        <f>[20]Table3s2!D9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25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>
        <f>[20]Table3s2!C10</f>
        <v>0.59733626212462998</v>
      </c>
      <c r="D11" s="14">
        <f>[20]Table3s2!D10</f>
        <v>1.2788403284050001E-2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14.93340655311575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3.8109441786469</v>
      </c>
      <c r="H11" s="7">
        <f t="shared" si="1"/>
        <v>18.744350731762651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16.72541533948964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3.38892687027325</v>
      </c>
      <c r="L11" s="11">
        <f t="shared" si="0"/>
        <v>20.114342209762889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25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>
        <f>[20]Table3s2!B11</f>
        <v>15.4529815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15.4529815</v>
      </c>
      <c r="I12" s="26">
        <v>0</v>
      </c>
      <c r="J12" s="25">
        <v>0</v>
      </c>
      <c r="K12" s="25">
        <v>0</v>
      </c>
      <c r="L12" s="11">
        <f t="shared" si="0"/>
        <v>15.4529815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25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>
        <f>[20]Table3s2!B12</f>
        <v>405.25540000000001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405.25540000000001</v>
      </c>
      <c r="I13" s="26">
        <v>0</v>
      </c>
      <c r="J13" s="25">
        <v>0</v>
      </c>
      <c r="K13" s="25">
        <v>0</v>
      </c>
      <c r="L13" s="11">
        <f t="shared" si="0"/>
        <v>405.25540000000001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25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 t="str">
        <f>[20]Table3s2!B13</f>
        <v>NO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25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[20]Table3s2!B14</f>
        <v>NO</v>
      </c>
      <c r="C15" s="14" t="str">
        <f>[20]Table3s2!C14</f>
        <v>NO</v>
      </c>
      <c r="D15" s="14" t="str">
        <f>[20]Table3s2!D14</f>
        <v>NO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25">
        <v>0</v>
      </c>
      <c r="Z15" s="25">
        <v>0</v>
      </c>
      <c r="AA15" s="26">
        <v>0</v>
      </c>
    </row>
    <row r="16" spans="1:27" x14ac:dyDescent="0.35">
      <c r="A16" s="28" t="s">
        <v>8</v>
      </c>
      <c r="B16" s="29">
        <f>[20]Table4!$B$11</f>
        <v>-95.727703703306247</v>
      </c>
      <c r="C16" s="29">
        <f>[20]Summary1.As2!$C$21</f>
        <v>4.3987247171999998E-2</v>
      </c>
      <c r="D16" s="29">
        <f>[20]Summary1.As2!$D$21</f>
        <v>0.20998682013773001</v>
      </c>
      <c r="E16" s="30">
        <v>0</v>
      </c>
      <c r="F16" s="29">
        <f>[20]Summary2!$C$41</f>
        <v>1.0996811793000001</v>
      </c>
      <c r="G16" s="29">
        <f>[20]Summary2!$D$41</f>
        <v>62.57607240104354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-32.051950122962701</v>
      </c>
      <c r="I16" s="32">
        <f>[20]Summary2!$J$41</f>
        <v>-32.051950122962701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1.231642920816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55.646507336498452</v>
      </c>
      <c r="L16" s="11">
        <f t="shared" si="2"/>
        <v>-38.849553445991795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-1569.1477999619665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1.2333879057250001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0.64115977892661147</v>
      </c>
      <c r="P16" s="31">
        <f>N16*'GWP CFs'!$B$3</f>
        <v>34.534861360300006</v>
      </c>
      <c r="Q16" s="31">
        <f>O16*'GWP CFs'!$B$4</f>
        <v>169.90734141555203</v>
      </c>
      <c r="R16" s="33">
        <f>M16+P16+Q16</f>
        <v>-1364.7055971861143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-1570.5463797562998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1.2306816515000001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0.64021068179804008</v>
      </c>
      <c r="V16" s="31">
        <f>T16*'GWP CFs'!$B$3</f>
        <v>34.459086242000005</v>
      </c>
      <c r="W16" s="31">
        <f>U16*'GWP CFs'!$B$4</f>
        <v>169.65583067648063</v>
      </c>
      <c r="X16" s="33">
        <f>S16+V16+W16</f>
        <v>-1366.431462837819</v>
      </c>
      <c r="Y16" s="29">
        <f>[20]Table4.B!$C$10</f>
        <v>8957.6141399999997</v>
      </c>
      <c r="Z16" s="34">
        <v>0</v>
      </c>
      <c r="AA16" s="30">
        <v>0</v>
      </c>
    </row>
    <row r="17" spans="1:30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-2206.5570232296332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0.20860436379804001</v>
      </c>
      <c r="E17" s="9">
        <f>[20]Table4.B!$P$10</f>
        <v>601.78827906262723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62.164100411815923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-2144.3929228178172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55.2801564064806</v>
      </c>
      <c r="L17" s="11">
        <f t="shared" si="2"/>
        <v>-2151.2768668231524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[20]Table4.B!$D$10</f>
        <v>8936.4400987000008</v>
      </c>
      <c r="Z17" s="25">
        <v>0</v>
      </c>
      <c r="AA17" s="26">
        <v>0</v>
      </c>
    </row>
    <row r="18" spans="1:30" x14ac:dyDescent="0.35">
      <c r="A18" s="22" t="s">
        <v>44</v>
      </c>
      <c r="B18" s="12">
        <v>0</v>
      </c>
      <c r="C18" s="21">
        <v>0</v>
      </c>
      <c r="D18" s="48">
        <f>'[20]Table4(III)'!$D$13</f>
        <v>0.20860436379804001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62.164100411815923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62.164100411815923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55.2801564064806</v>
      </c>
      <c r="L18" s="11">
        <f t="shared" si="2"/>
        <v>55.2801564064806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'[20]Table4(III)'!$B$13</f>
        <v>112.11570000000029</v>
      </c>
      <c r="Z18" s="25">
        <v>0</v>
      </c>
      <c r="AA18" s="26">
        <v>0</v>
      </c>
    </row>
    <row r="19" spans="1:30" x14ac:dyDescent="0.35">
      <c r="A19" s="6" t="s">
        <v>45</v>
      </c>
      <c r="B19" s="49" t="str">
        <f>'[20]Table4(II)'!$G$22</f>
        <v>NO</v>
      </c>
      <c r="C19" s="48" t="str">
        <f>'[20]Table4(II)'!$I$22</f>
        <v>NO</v>
      </c>
      <c r="D19" s="48" t="str">
        <f>'[20]Table4(II)'!$H$22</f>
        <v>NO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'[20]Table4(II)'!$C$22</f>
        <v>NO</v>
      </c>
      <c r="Z19" s="25">
        <v>0</v>
      </c>
      <c r="AA19" s="26">
        <v>0</v>
      </c>
    </row>
    <row r="20" spans="1:30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776.38151433333326</v>
      </c>
      <c r="C20" s="48" t="str">
        <f>'[20]Table4(II)'!$I$18</f>
        <v>NO</v>
      </c>
      <c r="D20" s="25">
        <v>0</v>
      </c>
      <c r="E20" s="9">
        <f>[20]Table4.B!$Q$10</f>
        <v>-211.74041299999999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0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776.38151433333326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0</v>
      </c>
      <c r="K20" s="25">
        <v>0</v>
      </c>
      <c r="L20" s="11">
        <f t="shared" si="2"/>
        <v>776.38151433333326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B$3*44/12</f>
        <v>637.40922326766679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E$3*44/28000</f>
        <v>0.43255541512857143</v>
      </c>
      <c r="P20" s="7">
        <f>N20*'GWP CFs'!$B$3</f>
        <v>0</v>
      </c>
      <c r="Q20" s="18">
        <f>O20*'GWP CFs'!$B$4</f>
        <v>114.62718500907143</v>
      </c>
      <c r="R20" s="11">
        <f>M20+P20+Q20</f>
        <v>752.03640827673826</v>
      </c>
      <c r="S20" s="18">
        <f>AA20*EFs!$B$3*44/12</f>
        <v>636.01064347333352</v>
      </c>
      <c r="T20" s="18">
        <f>AA20*0.95*EFs!$C$3/1000</f>
        <v>0</v>
      </c>
      <c r="U20" s="11">
        <f>AA20*EFs!$E$3*44/28000</f>
        <v>0.43160631800000004</v>
      </c>
      <c r="V20" s="18">
        <f>T20*'GWP CFs'!$B$3</f>
        <v>0</v>
      </c>
      <c r="W20" s="18">
        <f>U20*'GWP CFs'!$B$4</f>
        <v>114.37567427000002</v>
      </c>
      <c r="X20" s="11">
        <f>S20+V20+W20</f>
        <v>750.38631774333351</v>
      </c>
      <c r="Y20" s="14">
        <f>[20]Table4.B!$E$10</f>
        <v>21.174041299999999</v>
      </c>
      <c r="Z20" s="25">
        <v>0</v>
      </c>
      <c r="AA20" s="39">
        <v>21.127582</v>
      </c>
      <c r="AC20" s="84"/>
    </row>
    <row r="21" spans="1:30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0.05*EFs!$D$3/1000</f>
        <v>1.2333879057250001</v>
      </c>
      <c r="O21" s="26">
        <v>0</v>
      </c>
      <c r="P21" s="7">
        <f>N21*'GWP CFs'!$B$3</f>
        <v>34.534861360300006</v>
      </c>
      <c r="Q21" s="25">
        <v>0</v>
      </c>
      <c r="R21" s="11">
        <f>M21+P21+Q21</f>
        <v>34.534861360300006</v>
      </c>
      <c r="S21" s="25">
        <v>0</v>
      </c>
      <c r="T21" s="18">
        <f>AA20*0.05*EFs!$D$3/1000</f>
        <v>1.2306816515000001</v>
      </c>
      <c r="U21" s="42">
        <v>0</v>
      </c>
      <c r="V21" s="18">
        <f>T21*'GWP CFs'!$B$3</f>
        <v>34.459086242000005</v>
      </c>
      <c r="W21" s="25">
        <v>0</v>
      </c>
      <c r="X21" s="11">
        <f>V21</f>
        <v>34.459086242000005</v>
      </c>
      <c r="Y21" s="25">
        <v>0</v>
      </c>
      <c r="Z21" s="25">
        <v>0</v>
      </c>
      <c r="AA21" s="26">
        <v>0</v>
      </c>
    </row>
    <row r="22" spans="1:30" x14ac:dyDescent="0.35">
      <c r="A22" s="28" t="s">
        <v>7</v>
      </c>
      <c r="B22" s="29">
        <f>[20]Table4!$B$14</f>
        <v>-8395.7602984398945</v>
      </c>
      <c r="C22" s="29">
        <f>[20]Summary1.As2!$C$22</f>
        <v>3.6194074589870899</v>
      </c>
      <c r="D22" s="29">
        <f>[20]Summary1.As2!$D$22</f>
        <v>0.11375280585388001</v>
      </c>
      <c r="E22" s="30">
        <v>0</v>
      </c>
      <c r="F22" s="29">
        <f>[20]Summary2!$C$42</f>
        <v>90.485186474677249</v>
      </c>
      <c r="G22" s="29">
        <f>[20]Summary2!$D$42</f>
        <v>33.898336144456238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-8271.3767758207596</v>
      </c>
      <c r="I22" s="32">
        <f>[20]Summary2!$J$42</f>
        <v>-8271.3767758207614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101.34340885163851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30.144493551278202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-8264.2723960369767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-6813.6041474157719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0.137874051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2.248043065714286E-2</v>
      </c>
      <c r="P22" s="31">
        <f>N22*'GWP CFs'!$B$3</f>
        <v>3.8604734279999997</v>
      </c>
      <c r="Q22" s="31">
        <f>O22*'GWP CFs'!$B$4</f>
        <v>5.957314124142858</v>
      </c>
      <c r="R22" s="33">
        <f>M22+P22+Q22</f>
        <v>-6803.7863598636295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-6813.7245998357712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0.137510562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2.2421163599999999E-2</v>
      </c>
      <c r="V22" s="31">
        <f>T22*'GWP CFs'!$B$3</f>
        <v>3.8502957360000001</v>
      </c>
      <c r="W22" s="31">
        <f>U22*'GWP CFs'!$B$4</f>
        <v>5.9416083539999995</v>
      </c>
      <c r="X22" s="33">
        <f>S22+V22+W22</f>
        <v>-6803.9326957457715</v>
      </c>
      <c r="Y22" s="29">
        <f>[20]Table4.C!$C$10</f>
        <v>8177.8037932646957</v>
      </c>
      <c r="Z22" s="34">
        <v>0</v>
      </c>
      <c r="AA22" s="30">
        <v>0</v>
      </c>
    </row>
    <row r="23" spans="1:30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-6859.2926361957716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0</v>
      </c>
      <c r="E23" s="9">
        <f>[20]Table4.C!$P$10</f>
        <v>1870.7161735079378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0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-6859.2926361957716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0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-6859.2926361957716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[20]Table4.C!$D$10</f>
        <v>8175.7304992646959</v>
      </c>
      <c r="Z23" s="25">
        <v>0</v>
      </c>
      <c r="AA23" s="26">
        <v>0</v>
      </c>
    </row>
    <row r="24" spans="1:30" x14ac:dyDescent="0.35">
      <c r="A24" s="22" t="s">
        <v>44</v>
      </c>
      <c r="B24" s="25">
        <v>0</v>
      </c>
      <c r="C24" s="25">
        <v>0</v>
      </c>
      <c r="D24" s="48" t="str">
        <f>'[20]Table4(III)'!$D$15</f>
        <v>NO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0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0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0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0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 t="str">
        <f>'[20]Table4(III)'!$B$15</f>
        <v>NO</v>
      </c>
      <c r="Z24" s="25">
        <v>0</v>
      </c>
      <c r="AA24" s="26">
        <v>0</v>
      </c>
      <c r="AC24" s="82"/>
    </row>
    <row r="25" spans="1:30" x14ac:dyDescent="0.35">
      <c r="A25" s="6" t="s">
        <v>45</v>
      </c>
      <c r="B25" s="49" t="str">
        <f>'[20]Table4(II)'!$G$30</f>
        <v>NO</v>
      </c>
      <c r="C25" s="48" t="str">
        <f>'[20]Table4(II)'!$I$30</f>
        <v>NO</v>
      </c>
      <c r="D25" s="48" t="str">
        <f>'[20]Table4(II)'!$H$30</f>
        <v>NO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'[20]Table4(II)'!$C$30</f>
        <v>NO</v>
      </c>
      <c r="Z25" s="25">
        <v>0</v>
      </c>
      <c r="AA25" s="26">
        <v>0</v>
      </c>
      <c r="AD25" s="82"/>
    </row>
    <row r="26" spans="1:30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19.005194999999997</v>
      </c>
      <c r="C26" s="48" t="str">
        <f>'[20]Table4(II)'!$I$26</f>
        <v>NO</v>
      </c>
      <c r="D26" s="25">
        <v>0</v>
      </c>
      <c r="E26" s="9">
        <f>[20]Table4.C!$Q$10</f>
        <v>-5.1832349999999998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0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19.005194999999997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0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19.005194999999997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$5*44/12</f>
        <v>45.68848878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$5/1000</f>
        <v>3.3483698100000001E-2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$5*44/28000</f>
        <v>2.248043065714286E-2</v>
      </c>
      <c r="P26" s="7">
        <f>N26*'GWP CFs'!$B$3</f>
        <v>0.93754354679999996</v>
      </c>
      <c r="Q26" s="7">
        <f>O26*'GWP CFs'!$B$4</f>
        <v>5.957314124142858</v>
      </c>
      <c r="R26" s="11">
        <f>M26+P26+Q26</f>
        <v>52.583346450942855</v>
      </c>
      <c r="S26" s="18">
        <f>AA26*EFs!$B$5*44/12</f>
        <v>45.568036360000001</v>
      </c>
      <c r="T26" s="18">
        <f>AA26*0.95*EFs!$C$5/1000</f>
        <v>3.3395422199999997E-2</v>
      </c>
      <c r="U26" s="11">
        <f>AA26*EFs!$E$5*44/28000</f>
        <v>2.2421163599999999E-2</v>
      </c>
      <c r="V26" s="18">
        <f>T26*'GWP CFs'!$B$3</f>
        <v>0.93507182159999991</v>
      </c>
      <c r="W26" s="18">
        <f>U26*'GWP CFs'!$B$4</f>
        <v>5.9416083539999995</v>
      </c>
      <c r="X26" s="11">
        <f>S26+V26+W26</f>
        <v>52.444716535599994</v>
      </c>
      <c r="Y26" s="14">
        <f>[20]Table4.C!$E$10</f>
        <v>2.0732940000000002</v>
      </c>
      <c r="Z26" s="25">
        <v>0</v>
      </c>
      <c r="AA26" s="39">
        <v>2.067828</v>
      </c>
    </row>
    <row r="27" spans="1:30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$5/1000</f>
        <v>0.10439035290000001</v>
      </c>
      <c r="O27" s="10">
        <v>0</v>
      </c>
      <c r="P27" s="7">
        <f>N27*'GWP CFs'!$B$3</f>
        <v>2.9229298812000004</v>
      </c>
      <c r="Q27" s="21">
        <v>0</v>
      </c>
      <c r="R27" s="11">
        <f>P27</f>
        <v>2.9229298812000004</v>
      </c>
      <c r="S27" s="25">
        <v>0</v>
      </c>
      <c r="T27" s="18">
        <f>AA26*0.05*EFs!$D$5/1000</f>
        <v>0.10411513980000001</v>
      </c>
      <c r="U27" s="26">
        <v>0</v>
      </c>
      <c r="V27" s="18">
        <f>T27*'GWP CFs'!$B$3</f>
        <v>2.9152239144000003</v>
      </c>
      <c r="W27" s="25">
        <v>0</v>
      </c>
      <c r="X27" s="11">
        <f>V27</f>
        <v>2.9152239144000003</v>
      </c>
      <c r="Y27" s="25">
        <v>0</v>
      </c>
      <c r="Z27" s="25">
        <v>0</v>
      </c>
      <c r="AA27" s="26">
        <v>0</v>
      </c>
    </row>
    <row r="28" spans="1:30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0</v>
      </c>
      <c r="T28" s="31">
        <f>T29+T30</f>
        <v>0</v>
      </c>
      <c r="U28" s="33">
        <f>U29</f>
        <v>0</v>
      </c>
      <c r="V28" s="31">
        <f>V29+V30</f>
        <v>0</v>
      </c>
      <c r="W28" s="31">
        <f>W29</f>
        <v>0</v>
      </c>
      <c r="X28" s="33">
        <f>X29+X30</f>
        <v>0</v>
      </c>
      <c r="Y28" s="34">
        <v>0</v>
      </c>
      <c r="Z28" s="34">
        <v>0</v>
      </c>
      <c r="AA28" s="30">
        <v>0</v>
      </c>
    </row>
    <row r="29" spans="1:30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0</v>
      </c>
      <c r="T29" s="18">
        <f>AA29*0.95*EFs!$C$9/1000</f>
        <v>0</v>
      </c>
      <c r="U29" s="11">
        <f>AA29*EFs!$E$9*44/28000</f>
        <v>0</v>
      </c>
      <c r="V29" s="18">
        <f>T29*'GWP CFs'!$B$3</f>
        <v>0</v>
      </c>
      <c r="W29" s="18">
        <f>U29*'GWP CFs'!$B$4</f>
        <v>0</v>
      </c>
      <c r="X29" s="11">
        <f>S29+V29+W29</f>
        <v>0</v>
      </c>
      <c r="Y29" s="25">
        <v>0</v>
      </c>
      <c r="Z29" s="25">
        <v>0</v>
      </c>
      <c r="AA29" s="39">
        <v>0</v>
      </c>
    </row>
    <row r="30" spans="1:30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0</v>
      </c>
      <c r="U30" s="42">
        <v>0</v>
      </c>
      <c r="V30" s="44">
        <f>T30*'GWP CFs'!$B$3</f>
        <v>0</v>
      </c>
      <c r="W30" s="90">
        <v>0</v>
      </c>
      <c r="X30" s="46">
        <f>V30</f>
        <v>0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4"/>
  <sheetViews>
    <sheetView zoomScale="77" zoomScaleNormal="60" workbookViewId="0">
      <selection activeCell="E28" sqref="E28"/>
    </sheetView>
  </sheetViews>
  <sheetFormatPr baseColWidth="10" defaultRowHeight="14.5" x14ac:dyDescent="0.35"/>
  <cols>
    <col min="1" max="1" width="47.7265625" customWidth="1"/>
  </cols>
  <sheetData>
    <row r="1" spans="1:27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2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[21]Summary1.As1!$B$7</f>
        <v>9630.9556171815875</v>
      </c>
      <c r="C3" s="8">
        <f>[21]Summary1.As1!$C$7</f>
        <v>122.59770265092956</v>
      </c>
      <c r="D3" s="14">
        <f>[21]Summary1.As1!$D$7</f>
        <v>10.4917931191746</v>
      </c>
      <c r="E3" s="26">
        <v>0</v>
      </c>
      <c r="F3" s="8">
        <f>[21]Summary2!C7</f>
        <v>3064.9425662732392</v>
      </c>
      <c r="G3" s="8">
        <f>[21]Summary2!D7</f>
        <v>3126.5543495140309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15822.452532968859</v>
      </c>
      <c r="I3" s="9">
        <f>[21]Summary2!$J$7</f>
        <v>16400.109621933469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3432.7356742260276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2780.3251765812693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15844.016467988884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[21]Summary1.As2!$B$8</f>
        <v>25.822850511385379</v>
      </c>
      <c r="C4" s="29">
        <f>[21]Summary1.As2!$C$8</f>
        <v>69.473390250605021</v>
      </c>
      <c r="D4" s="29">
        <f>[21]Summary1.As2!$D$8</f>
        <v>8.4496807248999399</v>
      </c>
      <c r="E4" s="30">
        <v>0</v>
      </c>
      <c r="F4" s="29">
        <f>[21]Summary2!$C$28</f>
        <v>1736.8347562651254</v>
      </c>
      <c r="G4" s="29">
        <f>[21]Summary2!$D$28</f>
        <v>2518.0048560201822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4280.662462796693</v>
      </c>
      <c r="I4" s="32">
        <f>[21]Summary2!$J$28</f>
        <v>4280.662462796693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1945.2549270169407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2239.1653920984841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4210.2431696268104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25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[21]Summary1.As2!$C$9</f>
        <v>60.52966080128077</v>
      </c>
      <c r="D5" s="21">
        <v>0</v>
      </c>
      <c r="E5" s="26">
        <v>0</v>
      </c>
      <c r="F5" s="8">
        <f>[21]Summary2!$C$29</f>
        <v>1513.2415200320193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1513.2415200320193</v>
      </c>
      <c r="I5" s="14">
        <f>[21]Summary2!$J$29</f>
        <v>1513.2415200320193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1694.8305024358615</v>
      </c>
      <c r="K5" s="25">
        <v>0</v>
      </c>
      <c r="L5" s="11">
        <f t="shared" si="0"/>
        <v>1694.8305024358615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25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[21]Summary1.As2!$C$10</f>
        <v>8.9437294493242501</v>
      </c>
      <c r="D6" s="14">
        <f>[21]Summary1.As2!$D$10</f>
        <v>0.59937077804504002</v>
      </c>
      <c r="E6" s="26">
        <v>0</v>
      </c>
      <c r="F6" s="8">
        <f>[21]Summary2!C30</f>
        <v>223.59323623310624</v>
      </c>
      <c r="G6" s="14">
        <f>[21]Summary2!D30</f>
        <v>178.61249185742193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402.20572809052817</v>
      </c>
      <c r="I6" s="14">
        <f>[21]Summary2!$J$30</f>
        <v>402.20572809052817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250.42442458107899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158.83325618193561</v>
      </c>
      <c r="L6" s="11">
        <f t="shared" si="0"/>
        <v>409.2576807630146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25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 t="str">
        <f>[21]Table3s2!$C$7</f>
        <v>NO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0</v>
      </c>
      <c r="G7" s="25">
        <v>0</v>
      </c>
      <c r="H7" s="7">
        <f t="shared" si="1"/>
        <v>0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0</v>
      </c>
      <c r="K7" s="25">
        <v>0</v>
      </c>
      <c r="L7" s="11">
        <f t="shared" si="0"/>
        <v>0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25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[21]Summary1.As2!$C$12</f>
        <v>NA</v>
      </c>
      <c r="D8" s="14">
        <f>[21]Summary1.As2!$D$12</f>
        <v>7.8503099468548996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[21]Summary2!$D$32</f>
        <v>2339.3923641627603</v>
      </c>
      <c r="H8" s="7">
        <f t="shared" si="1"/>
        <v>2339.3923641627603</v>
      </c>
      <c r="I8" s="9">
        <f>[21]Summary2!$J$32</f>
        <v>2339.3923641627603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2080.3321359165484</v>
      </c>
      <c r="L8" s="11">
        <f t="shared" si="0"/>
        <v>2080.3321359165484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25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>
        <f>[21]Table3.D!$E$17</f>
        <v>1.6669709978775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496.75735736749499</v>
      </c>
      <c r="H9" s="7">
        <f t="shared" si="1"/>
        <v>496.75735736749499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441.74731443753751</v>
      </c>
      <c r="L9" s="11">
        <f t="shared" si="0"/>
        <v>441.74731443753751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8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132.59996574025567</v>
      </c>
      <c r="Z9" s="14">
        <f>[21]Table3.D!$C$17</f>
        <v>132599.96574025566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[21]Table3s2!C9</f>
        <v>NO</v>
      </c>
      <c r="D10" s="14" t="str">
        <f>[21]Table3s2!D9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25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 t="str">
        <f>[21]Table3s2!C10</f>
        <v>NO</v>
      </c>
      <c r="D11" s="14" t="str">
        <f>[21]Table3s2!D10</f>
        <v>NO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0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0</v>
      </c>
      <c r="H11" s="7">
        <f t="shared" si="1"/>
        <v>0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0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0</v>
      </c>
      <c r="L11" s="11">
        <f t="shared" si="0"/>
        <v>0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25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>
        <f>[21]Table3s2!B11</f>
        <v>11.45126713935189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11.45126713935189</v>
      </c>
      <c r="I12" s="26">
        <v>0</v>
      </c>
      <c r="J12" s="25">
        <v>0</v>
      </c>
      <c r="K12" s="25">
        <v>0</v>
      </c>
      <c r="L12" s="11">
        <f t="shared" si="0"/>
        <v>11.45126713935189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25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>
        <f>[21]Table3s2!B12</f>
        <v>14.37158337203349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14.37158337203349</v>
      </c>
      <c r="I13" s="26">
        <v>0</v>
      </c>
      <c r="J13" s="25">
        <v>0</v>
      </c>
      <c r="K13" s="25">
        <v>0</v>
      </c>
      <c r="L13" s="11">
        <f t="shared" si="0"/>
        <v>14.37158337203349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25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 t="str">
        <f>[21]Table3s2!B13</f>
        <v>NO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25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[21]Table3s2!B14</f>
        <v>NO</v>
      </c>
      <c r="C15" s="14" t="str">
        <f>[21]Table3s2!C14</f>
        <v>NO</v>
      </c>
      <c r="D15" s="14" t="str">
        <f>[21]Table3s2!D14</f>
        <v>NO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25">
        <v>0</v>
      </c>
      <c r="Z15" s="25">
        <v>0</v>
      </c>
      <c r="AA15" s="42">
        <v>0</v>
      </c>
    </row>
    <row r="16" spans="1:27" x14ac:dyDescent="0.35">
      <c r="A16" s="28" t="s">
        <v>8</v>
      </c>
      <c r="B16" s="29">
        <f>[21]Table4!$B$11</f>
        <v>1024.2362580686718</v>
      </c>
      <c r="C16" s="29">
        <f>[21]Summary1.As2!$C$21</f>
        <v>1.1213696964999999E-4</v>
      </c>
      <c r="D16" s="29">
        <f>[21]Summary1.As2!$D$21</f>
        <v>0.18112422056654001</v>
      </c>
      <c r="E16" s="30">
        <v>0</v>
      </c>
      <c r="F16" s="29">
        <f>[21]Summary2!$C$41</f>
        <v>2.8034242412500001E-3</v>
      </c>
      <c r="G16" s="29">
        <f>[21]Summary2!$D$41</f>
        <v>53.975017728828917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1078.2140792217419</v>
      </c>
      <c r="I16" s="32">
        <f>[21]Summary2!$J$41</f>
        <v>1078.2140792217419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3.1398351501999997E-3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47.997918450133106</v>
      </c>
      <c r="L16" s="11">
        <f t="shared" si="2"/>
        <v>1072.2373163539551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1507.355596963188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3.7277814080526013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1.4884732234319955</v>
      </c>
      <c r="P16" s="31">
        <f>N16*'GWP CFs'!$B$3</f>
        <v>104.37787942547284</v>
      </c>
      <c r="Q16" s="31">
        <f>O16*'GWP CFs'!$B$4</f>
        <v>394.4454042094788</v>
      </c>
      <c r="R16" s="33">
        <f>M16+P16+Q16</f>
        <v>2006.1788805981396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1507.4685642808963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3.7280000000000002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1.4885498847403413</v>
      </c>
      <c r="V16" s="31">
        <f>T16*'GWP CFs'!$B$3</f>
        <v>104.384</v>
      </c>
      <c r="W16" s="31">
        <f>U16*'GWP CFs'!$B$4</f>
        <v>394.46571945619047</v>
      </c>
      <c r="X16" s="33">
        <f>S16+V16+W16</f>
        <v>2006.3182837370869</v>
      </c>
      <c r="Y16" s="29">
        <f>[21]Table4.B!$C$10</f>
        <v>2040.1776356005198</v>
      </c>
      <c r="Z16" s="34">
        <v>0</v>
      </c>
      <c r="AA16" s="30">
        <v>0</v>
      </c>
    </row>
    <row r="17" spans="1:30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-419.14476905243703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0.18112131331177</v>
      </c>
      <c r="E17" s="9">
        <f>[21]Table4.B!$P$10</f>
        <v>114.31220974157374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53.974151366907464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-365.17061768552958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47.997148027619055</v>
      </c>
      <c r="L17" s="11">
        <f t="shared" si="2"/>
        <v>-371.14762102481797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[21]Table4.B!$D$10</f>
        <v>1976.1813882519773</v>
      </c>
      <c r="Z17" s="25">
        <v>0</v>
      </c>
      <c r="AA17" s="26">
        <v>0</v>
      </c>
    </row>
    <row r="18" spans="1:30" x14ac:dyDescent="0.35">
      <c r="A18" s="22" t="s">
        <v>44</v>
      </c>
      <c r="B18" s="12">
        <v>0</v>
      </c>
      <c r="C18" s="21">
        <v>0</v>
      </c>
      <c r="D18" s="48">
        <f>'[21]Table4(III)'!$D$18</f>
        <v>0.18112131331177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53.974151366907464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53.974151366907464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47.997148027619055</v>
      </c>
      <c r="L18" s="11">
        <f t="shared" si="2"/>
        <v>47.997148027619055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'[21]Table4(III)'!$B$18</f>
        <v>705.66745446143568</v>
      </c>
      <c r="Z18" s="25">
        <v>0</v>
      </c>
      <c r="AA18" s="26">
        <v>0</v>
      </c>
    </row>
    <row r="19" spans="1:30" x14ac:dyDescent="0.35">
      <c r="A19" s="6" t="s">
        <v>45</v>
      </c>
      <c r="B19" s="49" t="str">
        <f>'[21]Table4(II)'!$G$32</f>
        <v>NO</v>
      </c>
      <c r="C19" s="48" t="str">
        <f>'[21]Table4(II)'!$I$32</f>
        <v>NO</v>
      </c>
      <c r="D19" s="48" t="str">
        <f>'[21]Table4(II)'!$H$32</f>
        <v>NO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'[21]Table4(II)'!$C$32</f>
        <v>NO</v>
      </c>
      <c r="Z19" s="25">
        <v>0</v>
      </c>
      <c r="AA19" s="26">
        <v>0</v>
      </c>
    </row>
    <row r="20" spans="1:30" x14ac:dyDescent="0.35">
      <c r="A20" s="6" t="s">
        <v>24</v>
      </c>
      <c r="B20" s="49">
        <f>'[22]Table4(II)'!$G$24</f>
        <v>1117.8588102473634</v>
      </c>
      <c r="C20" s="48" t="str">
        <f>'[21]Table4(II)'!$I$24</f>
        <v>NO,NE</v>
      </c>
      <c r="D20" s="25">
        <v>0</v>
      </c>
      <c r="E20" s="9" t="str">
        <f>[21]Table4.B!$Q$10</f>
        <v>NO,IE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0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1117.8588102473634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0</v>
      </c>
      <c r="K20" s="25">
        <v>0</v>
      </c>
      <c r="L20" s="11">
        <f t="shared" si="2"/>
        <v>1117.8588102473634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B$3*44/12</f>
        <v>1926.5003660156251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E$3*44/28000</f>
        <v>1.3073519101202256</v>
      </c>
      <c r="P20" s="7">
        <f>N20*'GWP CFs'!$B$3</f>
        <v>0</v>
      </c>
      <c r="Q20" s="18">
        <f>O20*'GWP CFs'!$B$4</f>
        <v>346.44825618185979</v>
      </c>
      <c r="R20" s="11">
        <f>M20+P20+Q20</f>
        <v>2272.9486221974848</v>
      </c>
      <c r="S20" s="18">
        <f>AA20*EFs!$B$3*44/12</f>
        <v>1926.6133333333335</v>
      </c>
      <c r="T20" s="18">
        <f>AA20*0.95*EFs!$C$3/1000</f>
        <v>0</v>
      </c>
      <c r="U20" s="11">
        <f>AA20*EFs!$E$3*44/28000</f>
        <v>1.3074285714285714</v>
      </c>
      <c r="V20" s="18">
        <f>T20*'GWP CFs'!$B$3</f>
        <v>0</v>
      </c>
      <c r="W20" s="18">
        <f>U20*'GWP CFs'!$B$4</f>
        <v>346.46857142857141</v>
      </c>
      <c r="X20" s="11">
        <f>S20+V20+W20</f>
        <v>2273.0819047619048</v>
      </c>
      <c r="Y20" s="14">
        <f>[22]Table4.B!$E$10</f>
        <v>63.996247348542511</v>
      </c>
      <c r="Z20" s="25">
        <v>0</v>
      </c>
      <c r="AA20" s="39">
        <v>64</v>
      </c>
      <c r="AC20" s="82"/>
    </row>
    <row r="21" spans="1:30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0.05*EFs!$D$3/1000</f>
        <v>3.7277814080526013</v>
      </c>
      <c r="O21" s="26">
        <v>0</v>
      </c>
      <c r="P21" s="7">
        <f>N21*'GWP CFs'!$B$3</f>
        <v>104.37787942547284</v>
      </c>
      <c r="Q21" s="25">
        <v>0</v>
      </c>
      <c r="R21" s="11">
        <f>M21+P21+Q21</f>
        <v>104.37787942547284</v>
      </c>
      <c r="S21" s="25">
        <v>0</v>
      </c>
      <c r="T21" s="18">
        <f>AA20*0.05*EFs!$D$3/1000</f>
        <v>3.7280000000000002</v>
      </c>
      <c r="U21" s="42">
        <v>0</v>
      </c>
      <c r="V21" s="18">
        <f>T21*'GWP CFs'!$B$3</f>
        <v>104.384</v>
      </c>
      <c r="W21" s="25">
        <v>0</v>
      </c>
      <c r="X21" s="11">
        <f>V21</f>
        <v>104.384</v>
      </c>
      <c r="Y21" s="25">
        <v>0</v>
      </c>
      <c r="Z21" s="25">
        <v>0</v>
      </c>
      <c r="AA21" s="26">
        <v>0</v>
      </c>
    </row>
    <row r="22" spans="1:30" x14ac:dyDescent="0.35">
      <c r="A22" s="28" t="s">
        <v>7</v>
      </c>
      <c r="B22" s="29">
        <f>[21]Table4!$B$14</f>
        <v>-968.86455010209193</v>
      </c>
      <c r="C22" s="29">
        <f>[21]Summary1.As2!$C$22</f>
        <v>1.7210787299999999E-2</v>
      </c>
      <c r="D22" s="29">
        <f>[21]Summary1.As2!$D$22</f>
        <v>2.07747767857E-3</v>
      </c>
      <c r="E22" s="30">
        <v>0</v>
      </c>
      <c r="F22" s="29">
        <f>[21]Summary2!$C$42</f>
        <v>0.43026968249999997</v>
      </c>
      <c r="G22" s="29">
        <f>[21]Summary2!$D$42</f>
        <v>0.61908834821386005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-967.81519207137808</v>
      </c>
      <c r="I22" s="32">
        <f>[21]Summary2!$J$42</f>
        <v>-967.81519207137808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0.48190204439999995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0.55053158482105002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-967.83211647287078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738.30939020523795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4.5621472730489252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0.74436637595871702</v>
      </c>
      <c r="P22" s="31">
        <f>N22*'GWP CFs'!$B$3</f>
        <v>127.74012364536991</v>
      </c>
      <c r="Q22" s="31">
        <f>O22*'GWP CFs'!$B$4</f>
        <v>197.25708962906</v>
      </c>
      <c r="R22" s="33">
        <f>M22+P22+Q22</f>
        <v>1063.3066034796677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738.27298715036602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4.5618772620346739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0.74435761117825028</v>
      </c>
      <c r="V22" s="31">
        <f>T22*'GWP CFs'!$B$3</f>
        <v>127.73256333697087</v>
      </c>
      <c r="W22" s="31">
        <f>U22*'GWP CFs'!$B$4</f>
        <v>197.25476696223632</v>
      </c>
      <c r="X22" s="33">
        <f>S22+V22+W22</f>
        <v>1063.2603174495732</v>
      </c>
      <c r="Y22" s="29">
        <f>[21]Table4.C!$C$10</f>
        <v>1523.8437771484798</v>
      </c>
      <c r="Z22" s="34">
        <v>0</v>
      </c>
      <c r="AA22" s="30">
        <v>0</v>
      </c>
    </row>
    <row r="23" spans="1:30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-773.48788408681423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5.0605796857E-4</v>
      </c>
      <c r="E23" s="9">
        <f>[21]Table4.C!$P$10</f>
        <v>210.95124111458571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0.15080527463386001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-773.33707881218038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0.13410536167105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-773.35377872514323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[21]Table4.C!$D$10</f>
        <v>1455.2400587567668</v>
      </c>
      <c r="Z23" s="25">
        <v>0</v>
      </c>
      <c r="AA23" s="26">
        <v>0</v>
      </c>
    </row>
    <row r="24" spans="1:30" x14ac:dyDescent="0.35">
      <c r="A24" s="22" t="s">
        <v>44</v>
      </c>
      <c r="B24" s="25">
        <v>0</v>
      </c>
      <c r="C24" s="25">
        <v>0</v>
      </c>
      <c r="D24" s="48">
        <f>'[21]Table4(III)'!$D$21</f>
        <v>5.0605796857E-4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0.15080527463386001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0.15080527463386001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0.13410536167105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0.13410536167105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>
        <f>'[21]Table4(III)'!$B$21</f>
        <v>1.19799039084</v>
      </c>
      <c r="Z24" s="25">
        <v>0</v>
      </c>
      <c r="AA24" s="26">
        <v>0</v>
      </c>
    </row>
    <row r="25" spans="1:30" x14ac:dyDescent="0.35">
      <c r="A25" s="6" t="s">
        <v>45</v>
      </c>
      <c r="B25" s="49" t="str">
        <f>'[21]Table4(II)'!$G$44</f>
        <v>NO</v>
      </c>
      <c r="C25" s="48" t="str">
        <f>'[21]Table4(II)'!$I$44</f>
        <v>NO</v>
      </c>
      <c r="D25" s="48" t="str">
        <f>'[21]Table4(II)'!$H$44</f>
        <v>NO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'[21]Table4(II)'!$C$44</f>
        <v>NO</v>
      </c>
      <c r="Z25" s="25">
        <v>0</v>
      </c>
      <c r="AA25" s="26">
        <v>0</v>
      </c>
      <c r="AD25" s="82"/>
    </row>
    <row r="26" spans="1:30" x14ac:dyDescent="0.35">
      <c r="A26" s="6" t="s">
        <v>24</v>
      </c>
      <c r="B26" s="49">
        <f>'[22]Table4(II)'!$G$36</f>
        <v>59.630337756680419</v>
      </c>
      <c r="C26" s="48" t="str">
        <f>'[21]Table4(II)'!$I$36</f>
        <v>NO,NE</v>
      </c>
      <c r="D26" s="25">
        <v>0</v>
      </c>
      <c r="E26" s="9">
        <f>[21]Table4.C!$Q$10</f>
        <v>-2.0665334E-2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0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59.630337756680419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0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59.630337756680419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$5*44/12</f>
        <v>1511.7972742920522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$5/1000</f>
        <v>1.1079500520261674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$5*44/28000</f>
        <v>0.74386031799014707</v>
      </c>
      <c r="P26" s="7">
        <f>N26*'GWP CFs'!$B$3</f>
        <v>31.022601456732687</v>
      </c>
      <c r="Q26" s="7">
        <f>O26*'GWP CFs'!$B$4</f>
        <v>197.12298426738897</v>
      </c>
      <c r="R26" s="11">
        <f>M26+P26+Q26</f>
        <v>1739.9428600161739</v>
      </c>
      <c r="S26" s="18">
        <f>M26+(AA26-Y26)*EFs!$B$8*44/12</f>
        <v>1511.7608712371803</v>
      </c>
      <c r="T26" s="18">
        <f>N26+(AA26-Y26)*0.95*EFs!$C$8/1000</f>
        <v>1.1077780206335579</v>
      </c>
      <c r="U26" s="11">
        <f>O26+(AA26-Y26)*EFs!$E$8*44/28000</f>
        <v>0.74385155320968033</v>
      </c>
      <c r="V26" s="18">
        <f>T26*'GWP CFs'!$B$3</f>
        <v>31.017784577739622</v>
      </c>
      <c r="W26" s="18">
        <f>U26*'GWP CFs'!$B$4</f>
        <v>197.12066160056528</v>
      </c>
      <c r="X26" s="11">
        <f>S26+V26+W26</f>
        <v>1739.899317415485</v>
      </c>
      <c r="Y26" s="14">
        <f>[22]Table4.C!$E$10</f>
        <v>68.603718391713159</v>
      </c>
      <c r="Z26" s="25">
        <v>0</v>
      </c>
      <c r="AA26" s="39">
        <v>68.599999999999994</v>
      </c>
    </row>
    <row r="27" spans="1:30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$5/1000</f>
        <v>3.4541972210227576</v>
      </c>
      <c r="O27" s="10">
        <v>0</v>
      </c>
      <c r="P27" s="7">
        <f>N27*'GWP CFs'!$B$3</f>
        <v>96.717522188637219</v>
      </c>
      <c r="Q27" s="21">
        <v>0</v>
      </c>
      <c r="R27" s="11">
        <f>P27</f>
        <v>96.717522188637219</v>
      </c>
      <c r="S27" s="25">
        <v>0</v>
      </c>
      <c r="T27" s="18">
        <f>N27+(AA26-Y26)*0.05*EFs!$D$8/1000</f>
        <v>3.4540992414011158</v>
      </c>
      <c r="U27" s="26">
        <v>0</v>
      </c>
      <c r="V27" s="18">
        <f>T27*'GWP CFs'!$B$3</f>
        <v>96.714778759231237</v>
      </c>
      <c r="W27" s="25">
        <v>0</v>
      </c>
      <c r="X27" s="11">
        <f>V27</f>
        <v>96.714778759231237</v>
      </c>
      <c r="Y27" s="25">
        <v>0</v>
      </c>
      <c r="Z27" s="25">
        <v>0</v>
      </c>
      <c r="AA27" s="26">
        <v>0</v>
      </c>
      <c r="AC27" s="82"/>
      <c r="AD27" s="82"/>
    </row>
    <row r="28" spans="1:30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1476.3320000000001</v>
      </c>
      <c r="T28" s="31">
        <f>T29+T30</f>
        <v>10.950342000000001</v>
      </c>
      <c r="U28" s="33">
        <f>U29</f>
        <v>0.35545714285714292</v>
      </c>
      <c r="V28" s="31">
        <f>V29+V30</f>
        <v>306.609576</v>
      </c>
      <c r="W28" s="31">
        <f>W29</f>
        <v>94.196142857142874</v>
      </c>
      <c r="X28" s="33">
        <f>X29+X30</f>
        <v>1877.137718857143</v>
      </c>
      <c r="Y28" s="34">
        <v>0</v>
      </c>
      <c r="Z28" s="34">
        <v>0</v>
      </c>
      <c r="AA28" s="30">
        <v>0</v>
      </c>
      <c r="AC28" s="82"/>
    </row>
    <row r="29" spans="1:30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AA29*EFs!$B$8*44/12</f>
        <v>1476.3320000000001</v>
      </c>
      <c r="T29" s="18">
        <f>AA29*0.95*EFs!$C$8/1000</f>
        <v>6.9767619999999999</v>
      </c>
      <c r="U29" s="11">
        <f>AA29*EFs!$E$8*44/28000</f>
        <v>0.35545714285714292</v>
      </c>
      <c r="V29" s="18">
        <f>T29*'GWP CFs'!$B$3</f>
        <v>195.34933599999999</v>
      </c>
      <c r="W29" s="18">
        <f>U29*'GWP CFs'!$B$4</f>
        <v>94.196142857142874</v>
      </c>
      <c r="X29" s="11">
        <f>S29+V29+W29</f>
        <v>1765.8774788571429</v>
      </c>
      <c r="Y29" s="25">
        <v>0</v>
      </c>
      <c r="Z29" s="25">
        <v>0</v>
      </c>
      <c r="AA29" s="39">
        <v>150.80000000000001</v>
      </c>
    </row>
    <row r="30" spans="1:30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AA29*0.05*EFs!$D$8/1000</f>
        <v>3.9735800000000006</v>
      </c>
      <c r="U30" s="42">
        <v>0</v>
      </c>
      <c r="V30" s="44">
        <f>T30*'GWP CFs'!$B$3</f>
        <v>111.26024000000001</v>
      </c>
      <c r="W30" s="90">
        <v>0</v>
      </c>
      <c r="X30" s="46">
        <f>V30</f>
        <v>111.26024000000001</v>
      </c>
      <c r="Y30" s="90">
        <v>0</v>
      </c>
      <c r="Z30" s="90">
        <v>0</v>
      </c>
      <c r="AA30" s="42">
        <v>0</v>
      </c>
    </row>
    <row r="33" spans="21:21" x14ac:dyDescent="0.35">
      <c r="U33" s="82">
        <f>(U20+U26+U29)/(AA20+AA26+AA29)/44*28000</f>
        <v>5.4042345776826091</v>
      </c>
    </row>
    <row r="34" spans="21:21" x14ac:dyDescent="0.35">
      <c r="U34" s="82"/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zoomScale="60" zoomScaleNormal="60" workbookViewId="0">
      <selection activeCell="A30" sqref="A30:AA30"/>
    </sheetView>
  </sheetViews>
  <sheetFormatPr baseColWidth="10" defaultRowHeight="14.5" x14ac:dyDescent="0.35"/>
  <cols>
    <col min="1" max="1" width="47.453125" customWidth="1"/>
  </cols>
  <sheetData>
    <row r="1" spans="1:27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2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[23]Summary1.As1!$B$7</f>
        <v>9344.4439294318454</v>
      </c>
      <c r="C3" s="8">
        <f>[23]Summary1.As1!$C$7</f>
        <v>23.5063272603056</v>
      </c>
      <c r="D3" s="14">
        <f>[23]Summary1.As1!$D$7</f>
        <v>1.0870159533472099</v>
      </c>
      <c r="E3" s="26">
        <v>0</v>
      </c>
      <c r="F3" s="8">
        <f>[23]Summary2!C7</f>
        <v>587.65818150764005</v>
      </c>
      <c r="G3" s="8">
        <f>[23]Summary2!D7</f>
        <v>323.93075409746859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10256.032865036954</v>
      </c>
      <c r="I3" s="9">
        <f>[23]Summary2!$J$7</f>
        <v>10333.875042231528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658.17716328855681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288.05922763701062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10290.680320357413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[23]Summary1.As2!$B$8</f>
        <v>10.97891666666667</v>
      </c>
      <c r="C4" s="29">
        <f>[23]Summary1.As2!$C$8</f>
        <v>18.534884526527801</v>
      </c>
      <c r="D4" s="29">
        <f>[23]Summary1.As2!$D$8</f>
        <v>0.72514439703302003</v>
      </c>
      <c r="E4" s="30">
        <v>0</v>
      </c>
      <c r="F4" s="29">
        <f>[23]Summary2!$C$28</f>
        <v>463.37211316319502</v>
      </c>
      <c r="G4" s="29">
        <f>[23]Summary2!$D$28</f>
        <v>216.09303031583997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690.44406014570166</v>
      </c>
      <c r="I4" s="32">
        <f>[23]Summary2!$J$28</f>
        <v>690.44406014570166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518.97676674277841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192.16326521375032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722.11894862319537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25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[23]Summary1.As2!$C$9</f>
        <v>16.137564308156431</v>
      </c>
      <c r="D5" s="21">
        <v>0</v>
      </c>
      <c r="E5" s="26">
        <v>0</v>
      </c>
      <c r="F5" s="8">
        <f>[23]Summary2!$C$29</f>
        <v>403.43910770391074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403.43910770391074</v>
      </c>
      <c r="I5" s="14">
        <f>[23]Summary2!$J$29</f>
        <v>403.43910770391074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451.85180062838009</v>
      </c>
      <c r="K5" s="25">
        <v>0</v>
      </c>
      <c r="L5" s="11">
        <f t="shared" si="0"/>
        <v>451.85180062838009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25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[23]Summary1.As2!$C$10</f>
        <v>2.39732021837137</v>
      </c>
      <c r="D6" s="14">
        <f>[23]Summary1.As2!$D$10</f>
        <v>9.1504436637940001E-2</v>
      </c>
      <c r="E6" s="26">
        <v>0</v>
      </c>
      <c r="F6" s="8">
        <f>[23]Summary2!C30</f>
        <v>59.933005459284253</v>
      </c>
      <c r="G6" s="14">
        <f>[23]Summary2!D30</f>
        <v>27.26832211810612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87.201327577390373</v>
      </c>
      <c r="I6" s="14">
        <f>[23]Summary2!$J$30</f>
        <v>87.201327577390373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67.124966114398362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24.248675709054101</v>
      </c>
      <c r="L6" s="11">
        <f t="shared" si="0"/>
        <v>91.373641823452459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25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 t="str">
        <f>[23]Table3s2!$C$7</f>
        <v>NO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0</v>
      </c>
      <c r="G7" s="25">
        <v>0</v>
      </c>
      <c r="H7" s="7">
        <f t="shared" si="1"/>
        <v>0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0</v>
      </c>
      <c r="K7" s="25">
        <v>0</v>
      </c>
      <c r="L7" s="11">
        <f t="shared" si="0"/>
        <v>0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25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[23]Summary1.As2!$C$12</f>
        <v>NO</v>
      </c>
      <c r="D8" s="14">
        <f>[23]Summary1.As2!$D$12</f>
        <v>0.63363996039507997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[23]Summary2!$D$32</f>
        <v>188.82470819773383</v>
      </c>
      <c r="H8" s="7">
        <f t="shared" si="1"/>
        <v>188.82470819773383</v>
      </c>
      <c r="I8" s="9">
        <f>[23]Summary2!$J$32</f>
        <v>188.82470819773383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167.91458950469618</v>
      </c>
      <c r="L8" s="11">
        <f t="shared" si="0"/>
        <v>167.91458950469618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25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 t="str">
        <f>[23]Table3.D!$E$17</f>
        <v>NO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0</v>
      </c>
      <c r="H9" s="7">
        <f t="shared" si="1"/>
        <v>0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0</v>
      </c>
      <c r="L9" s="11">
        <f t="shared" si="0"/>
        <v>0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8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0</v>
      </c>
      <c r="Z9" s="14" t="str">
        <f>[23]Table3.D!$C$17</f>
        <v>NO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[23]Table3s2!C9</f>
        <v>NO</v>
      </c>
      <c r="D10" s="14" t="str">
        <f>[23]Table3s2!D9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25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 t="str">
        <f>[23]Table3s2!C10</f>
        <v>NO</v>
      </c>
      <c r="D11" s="14" t="str">
        <f>[23]Table3s2!D10</f>
        <v>NO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0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0</v>
      </c>
      <c r="H11" s="7">
        <f t="shared" si="1"/>
        <v>0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0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0</v>
      </c>
      <c r="L11" s="11">
        <f t="shared" si="0"/>
        <v>0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25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>
        <f>[23]Table3s2!B11</f>
        <v>10.97891666666667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10.97891666666667</v>
      </c>
      <c r="I12" s="26">
        <v>0</v>
      </c>
      <c r="J12" s="25">
        <v>0</v>
      </c>
      <c r="K12" s="25">
        <v>0</v>
      </c>
      <c r="L12" s="11">
        <f t="shared" si="0"/>
        <v>10.97891666666667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25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 t="str">
        <f>[23]Table3s2!B12</f>
        <v>NE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0</v>
      </c>
      <c r="I13" s="26">
        <v>0</v>
      </c>
      <c r="J13" s="25">
        <v>0</v>
      </c>
      <c r="K13" s="25">
        <v>0</v>
      </c>
      <c r="L13" s="11">
        <f t="shared" si="0"/>
        <v>0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25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 t="str">
        <f>[23]Table3s2!B13</f>
        <v>NO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25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[23]Table3s2!B14</f>
        <v>NO</v>
      </c>
      <c r="C15" s="14" t="str">
        <f>[23]Table3s2!C14</f>
        <v>NO</v>
      </c>
      <c r="D15" s="14" t="str">
        <f>[23]Table3s2!D14</f>
        <v>NO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25">
        <v>0</v>
      </c>
      <c r="Z15" s="25">
        <v>0</v>
      </c>
      <c r="AA15" s="42">
        <v>0</v>
      </c>
    </row>
    <row r="16" spans="1:27" x14ac:dyDescent="0.35">
      <c r="A16" s="28" t="s">
        <v>8</v>
      </c>
      <c r="B16" s="29">
        <f>[23]Table4!$B$11</f>
        <v>32.188286325461007</v>
      </c>
      <c r="C16" s="29" t="str">
        <f>[23]Summary1.As2!$C$21</f>
        <v>NO</v>
      </c>
      <c r="D16" s="29">
        <f>[23]Summary1.As2!$D$21</f>
        <v>1.038917026655E-2</v>
      </c>
      <c r="E16" s="30">
        <v>0</v>
      </c>
      <c r="F16" s="29" t="str">
        <f>[23]Summary2!$C$41</f>
        <v>NO</v>
      </c>
      <c r="G16" s="29">
        <f>[23]Summary2!$D$41</f>
        <v>3.0959727394318999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35.284259064892908</v>
      </c>
      <c r="I16" s="32">
        <f>[23]Summary2!$J$41</f>
        <v>35.284259064892908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0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2.7531301206357499</v>
      </c>
      <c r="L16" s="11">
        <f t="shared" si="2"/>
        <v>34.94141644609676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27.241330290735842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0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1.038917026655E-2</v>
      </c>
      <c r="P16" s="31">
        <f>N16*'GWP CFs'!$B$3</f>
        <v>0</v>
      </c>
      <c r="Q16" s="31">
        <f>O16*'GWP CFs'!$B$4</f>
        <v>2.7531301206357499</v>
      </c>
      <c r="R16" s="33">
        <f>M16+P16+Q16</f>
        <v>29.994460411371591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27.241330290735842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0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1.038917026655E-2</v>
      </c>
      <c r="V16" s="31">
        <f>T16*'GWP CFs'!$B$3</f>
        <v>0</v>
      </c>
      <c r="W16" s="31">
        <f>U16*'GWP CFs'!$B$4</f>
        <v>2.7531301206357499</v>
      </c>
      <c r="X16" s="33">
        <f>S16+V16+W16</f>
        <v>29.994460411371591</v>
      </c>
      <c r="Y16" s="29">
        <f>[23]Table4.B!$C$10</f>
        <v>59.954209439992702</v>
      </c>
      <c r="Z16" s="34">
        <v>0</v>
      </c>
      <c r="AA16" s="30">
        <v>0</v>
      </c>
    </row>
    <row r="17" spans="1:27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27.241330290735842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1.038917026655E-2</v>
      </c>
      <c r="E17" s="9">
        <f>[23]Table4.B!$P$10</f>
        <v>-7.4294537156552298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3.0959727394319003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30.337303030167742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2.7531301206357499</v>
      </c>
      <c r="L17" s="11">
        <f t="shared" si="2"/>
        <v>29.994460411371591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[23]Table4.B!$D$10</f>
        <v>59.954209439992702</v>
      </c>
      <c r="Z17" s="25">
        <v>0</v>
      </c>
      <c r="AA17" s="26">
        <v>0</v>
      </c>
    </row>
    <row r="18" spans="1:27" x14ac:dyDescent="0.35">
      <c r="A18" s="22" t="s">
        <v>44</v>
      </c>
      <c r="B18" s="12">
        <v>0</v>
      </c>
      <c r="C18" s="21">
        <v>0</v>
      </c>
      <c r="D18" s="48">
        <f>'[23]Table4(III)'!$D$18</f>
        <v>1.038917026655E-2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3.0959727394319003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3.0959727394319003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2.7531301206357499</v>
      </c>
      <c r="L18" s="11">
        <f t="shared" si="2"/>
        <v>2.7531301206357499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'[23]Table4(III)'!$B$18</f>
        <v>6.2015770227141402</v>
      </c>
      <c r="Z18" s="25">
        <v>0</v>
      </c>
      <c r="AA18" s="26">
        <v>0</v>
      </c>
    </row>
    <row r="19" spans="1:27" x14ac:dyDescent="0.35">
      <c r="A19" s="6" t="s">
        <v>45</v>
      </c>
      <c r="B19" s="49" t="str">
        <f>'[23]Table4(II)'!$G$28</f>
        <v>NO</v>
      </c>
      <c r="C19" s="48" t="str">
        <f>'[23]Table4(II)'!$I$28</f>
        <v>NO</v>
      </c>
      <c r="D19" s="48" t="str">
        <f>'[23]Table4(II)'!$H$28</f>
        <v>NO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'[23]Table4(II)'!$C$28</f>
        <v>NO</v>
      </c>
      <c r="Z19" s="25">
        <v>0</v>
      </c>
      <c r="AA19" s="26">
        <v>0</v>
      </c>
    </row>
    <row r="20" spans="1:27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0</v>
      </c>
      <c r="C20" s="48" t="str">
        <f>'[23]Table4(II)'!$I$22</f>
        <v>NO</v>
      </c>
      <c r="D20" s="25">
        <v>0</v>
      </c>
      <c r="E20" s="9" t="str">
        <f>[23]Table4.B!$Q$10</f>
        <v>NO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0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0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0</v>
      </c>
      <c r="K20" s="25">
        <v>0</v>
      </c>
      <c r="L20" s="11">
        <f t="shared" si="2"/>
        <v>0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B$3*44/12</f>
        <v>0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E$3*44/28000</f>
        <v>0</v>
      </c>
      <c r="P20" s="7">
        <f>N20*'GWP CFs'!$B$3</f>
        <v>0</v>
      </c>
      <c r="Q20" s="18">
        <f>O20*'GWP CFs'!$B$4</f>
        <v>0</v>
      </c>
      <c r="R20" s="11">
        <f>M20+P20+Q20</f>
        <v>0</v>
      </c>
      <c r="S20" s="18">
        <f>AA20*EFs!$B$3*44/12</f>
        <v>0</v>
      </c>
      <c r="T20" s="18">
        <f>AA20*0.95*EFs!$C$3/1000</f>
        <v>0</v>
      </c>
      <c r="U20" s="11">
        <f>AA20*EFs!$E$3*44/28000</f>
        <v>0</v>
      </c>
      <c r="V20" s="18">
        <f>T20*'GWP CFs'!$B$3</f>
        <v>0</v>
      </c>
      <c r="W20" s="18">
        <f>U20*'GWP CFs'!$B$4</f>
        <v>0</v>
      </c>
      <c r="X20" s="11">
        <f>S20+V20+W20</f>
        <v>0</v>
      </c>
      <c r="Y20" s="14" t="str">
        <f>[23]Table4.B!$E$10</f>
        <v>NO</v>
      </c>
      <c r="Z20" s="25">
        <v>0</v>
      </c>
      <c r="AA20" s="39">
        <v>0</v>
      </c>
    </row>
    <row r="21" spans="1:27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0.05*EFs!$D$3/1000</f>
        <v>0</v>
      </c>
      <c r="O21" s="26">
        <v>0</v>
      </c>
      <c r="P21" s="7">
        <f>N21*'GWP CFs'!$B$3</f>
        <v>0</v>
      </c>
      <c r="Q21" s="25">
        <v>0</v>
      </c>
      <c r="R21" s="11">
        <f>M21+P21+Q21</f>
        <v>0</v>
      </c>
      <c r="S21" s="25">
        <v>0</v>
      </c>
      <c r="T21" s="18">
        <f>AA20*0.05*EFs!$D$3/1000</f>
        <v>0</v>
      </c>
      <c r="U21" s="42">
        <v>0</v>
      </c>
      <c r="V21" s="18">
        <f>T21*'GWP CFs'!$B$3</f>
        <v>0</v>
      </c>
      <c r="W21" s="25">
        <v>0</v>
      </c>
      <c r="X21" s="11">
        <f>V21</f>
        <v>0</v>
      </c>
      <c r="Y21" s="25">
        <v>0</v>
      </c>
      <c r="Z21" s="25">
        <v>0</v>
      </c>
      <c r="AA21" s="26">
        <v>0</v>
      </c>
    </row>
    <row r="22" spans="1:27" x14ac:dyDescent="0.35">
      <c r="A22" s="28" t="s">
        <v>7</v>
      </c>
      <c r="B22" s="29">
        <f>[23]Table4!$B$14</f>
        <v>-41.68888243083326</v>
      </c>
      <c r="C22" s="29" t="str">
        <f>[23]Summary1.As2!$C$22</f>
        <v>NO</v>
      </c>
      <c r="D22" s="29">
        <f>[23]Summary1.As2!$D$22</f>
        <v>5.5518963106999995E-4</v>
      </c>
      <c r="E22" s="30">
        <v>0</v>
      </c>
      <c r="F22" s="29" t="str">
        <f>[23]Summary2!$C$42</f>
        <v>NO</v>
      </c>
      <c r="G22" s="29">
        <f>[23]Summary2!$D$42</f>
        <v>0.16544651005885999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-41.523435920774403</v>
      </c>
      <c r="I22" s="32">
        <f>[23]Summary2!$J$42</f>
        <v>-41.523435920774403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0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0.14712525223355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-41.54175717859971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-47.133803065795931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0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5.5518963106999995E-4</v>
      </c>
      <c r="P22" s="31">
        <f>N22*'GWP CFs'!$B$3</f>
        <v>0</v>
      </c>
      <c r="Q22" s="31">
        <f>O22*'GWP CFs'!$B$4</f>
        <v>0.14712525223355</v>
      </c>
      <c r="R22" s="33">
        <f>M22+P22+Q22</f>
        <v>-46.98667781356238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-47.133803065795931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0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5.5518963106999995E-4</v>
      </c>
      <c r="V22" s="31">
        <f>T22*'GWP CFs'!$B$3</f>
        <v>0</v>
      </c>
      <c r="W22" s="31">
        <f>U22*'GWP CFs'!$B$4</f>
        <v>0.14712525223355</v>
      </c>
      <c r="X22" s="33">
        <f>S22+V22+W22</f>
        <v>-46.98667781356238</v>
      </c>
      <c r="Y22" s="29">
        <f>[23]Table4.C!$C$10</f>
        <v>75.0954161384592</v>
      </c>
      <c r="Z22" s="34">
        <v>0</v>
      </c>
      <c r="AA22" s="30">
        <v>0</v>
      </c>
    </row>
    <row r="23" spans="1:27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-47.133803065795931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5.5518963106999995E-4</v>
      </c>
      <c r="E23" s="9">
        <f>[23]Table4.C!$P$10</f>
        <v>12.85467356339889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0.16544651005885999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-46.968356555737074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0.14712525223355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-46.98667781356238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[23]Table4.C!$D$10</f>
        <v>75.0954161384592</v>
      </c>
      <c r="Z23" s="25">
        <v>0</v>
      </c>
      <c r="AA23" s="26">
        <v>0</v>
      </c>
    </row>
    <row r="24" spans="1:27" x14ac:dyDescent="0.35">
      <c r="A24" s="22" t="s">
        <v>44</v>
      </c>
      <c r="B24" s="25">
        <v>0</v>
      </c>
      <c r="C24" s="25">
        <v>0</v>
      </c>
      <c r="D24" s="48">
        <f>'[23]Table4(III)'!$D$25</f>
        <v>5.5518963106999995E-4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0.16544651005885999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0.16544651005885999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0.14712525223355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0.14712525223355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>
        <f>'[23]Table4(III)'!$B$25</f>
        <v>75.0954161384592</v>
      </c>
      <c r="Z24" s="25">
        <v>0</v>
      </c>
      <c r="AA24" s="26">
        <v>0</v>
      </c>
    </row>
    <row r="25" spans="1:27" x14ac:dyDescent="0.35">
      <c r="A25" s="6" t="s">
        <v>45</v>
      </c>
      <c r="B25" s="49" t="str">
        <f>'[23]Table4(II)'!$G$39</f>
        <v>NO</v>
      </c>
      <c r="C25" s="48" t="str">
        <f>'[23]Table4(II)'!$I$39</f>
        <v>NO</v>
      </c>
      <c r="D25" s="48" t="str">
        <f>'[23]Table4(II)'!$H$39</f>
        <v>NO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'[23]Table4(II)'!$C$39</f>
        <v>NO</v>
      </c>
      <c r="Z25" s="25">
        <v>0</v>
      </c>
      <c r="AA25" s="26">
        <v>0</v>
      </c>
    </row>
    <row r="26" spans="1:27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0</v>
      </c>
      <c r="C26" s="48" t="str">
        <f>'[23]Table4(II)'!$I$33</f>
        <v>NO</v>
      </c>
      <c r="D26" s="25">
        <v>0</v>
      </c>
      <c r="E26" s="9" t="str">
        <f>[23]Table4.C!$Q$10</f>
        <v>NO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0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0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0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0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$5*44/12</f>
        <v>0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$5/1000</f>
        <v>0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$5*44/28000</f>
        <v>0</v>
      </c>
      <c r="P26" s="7">
        <f>N26*'GWP CFs'!$B$3</f>
        <v>0</v>
      </c>
      <c r="Q26" s="7">
        <f>O26*'GWP CFs'!$B$4</f>
        <v>0</v>
      </c>
      <c r="R26" s="11">
        <f>M26+P26+Q26</f>
        <v>0</v>
      </c>
      <c r="S26" s="18">
        <f>AA26*EFs!$B$5*44/12</f>
        <v>0</v>
      </c>
      <c r="T26" s="18">
        <f>AA26*0.95*EFs!$C$5/1000</f>
        <v>0</v>
      </c>
      <c r="U26" s="11">
        <f>AA26*EFs!$E$5*44/28000</f>
        <v>0</v>
      </c>
      <c r="V26" s="18">
        <f>T26*'GWP CFs'!$B$3</f>
        <v>0</v>
      </c>
      <c r="W26" s="18">
        <f>U26*'GWP CFs'!$B$4</f>
        <v>0</v>
      </c>
      <c r="X26" s="11">
        <f>S26+V26+W26</f>
        <v>0</v>
      </c>
      <c r="Y26" s="14" t="str">
        <f>[23]Table4.C!$E$10</f>
        <v>NO</v>
      </c>
      <c r="Z26" s="25">
        <v>0</v>
      </c>
      <c r="AA26" s="39">
        <v>0</v>
      </c>
    </row>
    <row r="27" spans="1:27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$5/1000</f>
        <v>0</v>
      </c>
      <c r="O27" s="10">
        <v>0</v>
      </c>
      <c r="P27" s="7">
        <f>N27*'GWP CFs'!$B$3</f>
        <v>0</v>
      </c>
      <c r="Q27" s="21">
        <v>0</v>
      </c>
      <c r="R27" s="11">
        <f>P27</f>
        <v>0</v>
      </c>
      <c r="S27" s="25">
        <v>0</v>
      </c>
      <c r="T27" s="18">
        <f>AA26*0.05*EFs!$D$5/1000</f>
        <v>0</v>
      </c>
      <c r="U27" s="26">
        <v>0</v>
      </c>
      <c r="V27" s="18">
        <f>T27*'GWP CFs'!$B$3</f>
        <v>0</v>
      </c>
      <c r="W27" s="25">
        <v>0</v>
      </c>
      <c r="X27" s="11">
        <f>V27</f>
        <v>0</v>
      </c>
      <c r="Y27" s="25">
        <v>0</v>
      </c>
      <c r="Z27" s="25">
        <v>0</v>
      </c>
      <c r="AA27" s="26">
        <v>0</v>
      </c>
    </row>
    <row r="28" spans="1:27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4.6925999999999997</v>
      </c>
      <c r="T28" s="31">
        <f>T29+T30</f>
        <v>1.1218499999999999E-2</v>
      </c>
      <c r="U28" s="33">
        <f>U29</f>
        <v>2.814428571428571E-3</v>
      </c>
      <c r="V28" s="31">
        <f>V29+V30</f>
        <v>0.31411800000000001</v>
      </c>
      <c r="W28" s="31">
        <f>W29</f>
        <v>0.74582357142857136</v>
      </c>
      <c r="X28" s="33">
        <f>X29+X30</f>
        <v>5.752541571428571</v>
      </c>
      <c r="Y28" s="34">
        <v>0</v>
      </c>
      <c r="Z28" s="34">
        <v>0</v>
      </c>
      <c r="AA28" s="30">
        <v>0</v>
      </c>
    </row>
    <row r="29" spans="1:27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4.6925999999999997</v>
      </c>
      <c r="T29" s="18">
        <f>AA29*0.95*EFs!$C$9/1000</f>
        <v>1.4534999999999997E-3</v>
      </c>
      <c r="U29" s="11">
        <f>AA29*EFs!$E$9*44/28000</f>
        <v>2.814428571428571E-3</v>
      </c>
      <c r="V29" s="18">
        <f>T29*'GWP CFs'!$B$3</f>
        <v>4.0697999999999991E-2</v>
      </c>
      <c r="W29" s="18">
        <f>U29*'GWP CFs'!$B$4</f>
        <v>0.74582357142857136</v>
      </c>
      <c r="X29" s="11">
        <f>S29+V29+W29</f>
        <v>5.4791215714285713</v>
      </c>
      <c r="Y29" s="25">
        <v>0</v>
      </c>
      <c r="Z29" s="25">
        <v>0</v>
      </c>
      <c r="AA29" s="39">
        <v>0.18</v>
      </c>
    </row>
    <row r="30" spans="1:27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9.7649999999999994E-3</v>
      </c>
      <c r="U30" s="42">
        <v>0</v>
      </c>
      <c r="V30" s="44">
        <f>T30*'GWP CFs'!$B$3</f>
        <v>0.27342</v>
      </c>
      <c r="W30" s="90">
        <v>0</v>
      </c>
      <c r="X30" s="46">
        <f>V30</f>
        <v>0.27342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topLeftCell="A2" zoomScale="60" zoomScaleNormal="60" workbookViewId="0">
      <selection activeCell="A30" sqref="A30:AA30"/>
    </sheetView>
  </sheetViews>
  <sheetFormatPr baseColWidth="10" defaultRowHeight="14.5" x14ac:dyDescent="0.35"/>
  <cols>
    <col min="1" max="1" width="47.7265625" customWidth="1"/>
  </cols>
  <sheetData>
    <row r="1" spans="1:27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2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[24]Summary1.As1!$B$7</f>
        <v>7956.0573049782361</v>
      </c>
      <c r="C3" s="8">
        <f>[24]Summary1.As1!$C$7</f>
        <v>97.121474512080439</v>
      </c>
      <c r="D3" s="14">
        <f>[24]Summary1.As1!$D$7</f>
        <v>8.38948557826272</v>
      </c>
      <c r="E3" s="26">
        <v>0</v>
      </c>
      <c r="F3" s="8">
        <f>[24]Summary2!C7</f>
        <v>2428.036862802011</v>
      </c>
      <c r="G3" s="8">
        <f>[24]Summary2!D7</f>
        <v>2500.0667023222904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12884.160870102538</v>
      </c>
      <c r="I3" s="9">
        <f>[24]Summary2!$J$7</f>
        <v>13133.216275970271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2719.4012863382522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2223.213678239621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12898.672269556109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[24]Summary1.As2!$B$8</f>
        <v>44.489133333333342</v>
      </c>
      <c r="C4" s="29">
        <f>[24]Summary1.As2!$C$8</f>
        <v>37.596230779179329</v>
      </c>
      <c r="D4" s="29">
        <f>[24]Summary1.As2!$D$8</f>
        <v>5.4530348802927202</v>
      </c>
      <c r="E4" s="30">
        <v>0</v>
      </c>
      <c r="F4" s="29">
        <f>[24]Summary2!$C$28</f>
        <v>939.9057694794833</v>
      </c>
      <c r="G4" s="29">
        <f>[24]Summary2!$D$28</f>
        <v>1625.0043943272306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2609.3992971400471</v>
      </c>
      <c r="I4" s="32">
        <f>[24]Summary2!$J$28</f>
        <v>2609.3992971400471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1052.6944618170212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1445.0542432775708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2542.2378384279255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25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[24]Summary1.As2!$C$9</f>
        <v>33.9973412190242</v>
      </c>
      <c r="D5" s="21">
        <v>0</v>
      </c>
      <c r="E5" s="26">
        <v>0</v>
      </c>
      <c r="F5" s="8">
        <f>[24]Summary2!$C$29</f>
        <v>849.93353047560504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849.93353047560504</v>
      </c>
      <c r="I5" s="14">
        <f>[24]Summary2!$J$29</f>
        <v>849.93353047560504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951.92555413267758</v>
      </c>
      <c r="K5" s="25">
        <v>0</v>
      </c>
      <c r="L5" s="11">
        <f t="shared" si="0"/>
        <v>951.92555413267758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25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[24]Summary1.As2!$C$10</f>
        <v>3.5988895601551301</v>
      </c>
      <c r="D6" s="14">
        <f>[24]Summary1.As2!$D$10</f>
        <v>0.26397629144904999</v>
      </c>
      <c r="E6" s="26">
        <v>0</v>
      </c>
      <c r="F6" s="8">
        <f>[24]Summary2!C30</f>
        <v>89.972239003878244</v>
      </c>
      <c r="G6" s="14">
        <f>[24]Summary2!D30</f>
        <v>78.664934851816895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168.63717385569515</v>
      </c>
      <c r="I6" s="14">
        <f>[24]Summary2!$J$30</f>
        <v>168.63717385569515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100.76890768434365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69.953717233998248</v>
      </c>
      <c r="L6" s="11">
        <f t="shared" si="0"/>
        <v>170.72262491834189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25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 t="str">
        <f>[24]Table3s2!$C$7</f>
        <v>NO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0</v>
      </c>
      <c r="G7" s="25">
        <v>0</v>
      </c>
      <c r="H7" s="7">
        <f t="shared" si="1"/>
        <v>0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0</v>
      </c>
      <c r="K7" s="25">
        <v>0</v>
      </c>
      <c r="L7" s="11">
        <f t="shared" si="0"/>
        <v>0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25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[24]Summary1.As2!$C$12</f>
        <v>NE</v>
      </c>
      <c r="D8" s="14">
        <f>[24]Summary1.As2!$D$12</f>
        <v>5.18905858884367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[24]Summary2!$D$32</f>
        <v>1546.3394594754136</v>
      </c>
      <c r="H8" s="7">
        <f t="shared" si="1"/>
        <v>1546.3394594754136</v>
      </c>
      <c r="I8" s="9">
        <f>[24]Summary2!$J$32</f>
        <v>1546.3394594754136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1375.1005260435725</v>
      </c>
      <c r="L8" s="11">
        <f t="shared" si="0"/>
        <v>1375.1005260435725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25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>
        <f>[24]Table3.D!$E$17</f>
        <v>2.63312241738319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784.67048038019061</v>
      </c>
      <c r="H9" s="7">
        <f t="shared" si="1"/>
        <v>784.67048038019061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697.77744060654538</v>
      </c>
      <c r="L9" s="11">
        <f t="shared" si="0"/>
        <v>697.77744060654538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8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158.31948801640362</v>
      </c>
      <c r="Z9" s="14">
        <f>[24]Table3.D!$C$17</f>
        <v>158319.48801640363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[24]Table3s2!C9</f>
        <v>NO</v>
      </c>
      <c r="D10" s="14" t="str">
        <f>[24]Table3s2!D9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25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 t="str">
        <f>[24]Table3s2!C10</f>
        <v>NO</v>
      </c>
      <c r="D11" s="14" t="str">
        <f>[24]Table3s2!D10</f>
        <v>NO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0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0</v>
      </c>
      <c r="H11" s="7">
        <f t="shared" si="1"/>
        <v>0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0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0</v>
      </c>
      <c r="L11" s="11">
        <f t="shared" si="0"/>
        <v>0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25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>
        <f>[24]Table3s2!B11</f>
        <v>34.378666666666668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34.378666666666668</v>
      </c>
      <c r="I12" s="26">
        <v>0</v>
      </c>
      <c r="J12" s="25">
        <v>0</v>
      </c>
      <c r="K12" s="25">
        <v>0</v>
      </c>
      <c r="L12" s="11">
        <f t="shared" si="0"/>
        <v>34.378666666666668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25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>
        <f>[24]Table3s2!B12</f>
        <v>10.110466666666669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10.110466666666669</v>
      </c>
      <c r="I13" s="26">
        <v>0</v>
      </c>
      <c r="J13" s="25">
        <v>0</v>
      </c>
      <c r="K13" s="25">
        <v>0</v>
      </c>
      <c r="L13" s="11">
        <f t="shared" si="0"/>
        <v>10.110466666666669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25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 t="str">
        <f>[24]Table3s2!B13</f>
        <v>NE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25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[24]Table3s2!B14</f>
        <v>NO</v>
      </c>
      <c r="C15" s="14" t="str">
        <f>[24]Table3s2!C14</f>
        <v>NO</v>
      </c>
      <c r="D15" s="14" t="str">
        <f>[24]Table3s2!D14</f>
        <v>NO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25">
        <v>0</v>
      </c>
      <c r="Z15" s="25">
        <v>0</v>
      </c>
      <c r="AA15" s="42">
        <v>0</v>
      </c>
    </row>
    <row r="16" spans="1:27" x14ac:dyDescent="0.35">
      <c r="A16" s="28" t="s">
        <v>8</v>
      </c>
      <c r="B16" s="29">
        <f>[24]Table4!$B$11</f>
        <v>2336.4157483333356</v>
      </c>
      <c r="C16" s="29">
        <f>[24]Summary1.As2!$C$21</f>
        <v>4.0270700000000001</v>
      </c>
      <c r="D16" s="29">
        <f>[24]Summary1.As2!$D$21</f>
        <v>4.5079999999999999E-3</v>
      </c>
      <c r="E16" s="30">
        <v>0</v>
      </c>
      <c r="F16" s="29">
        <f>[24]Summary2!$C$41</f>
        <v>100.67675</v>
      </c>
      <c r="G16" s="29">
        <f>[24]Summary2!$D$41</f>
        <v>1.3433839999999999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2438.4358823333355</v>
      </c>
      <c r="I16" s="32">
        <f>[24]Summary2!$J$41</f>
        <v>2438.4358823333355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112.75796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1.19462</v>
      </c>
      <c r="L16" s="11">
        <f t="shared" si="2"/>
        <v>2450.3683283333357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2382.7200908866671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4.5800335844999998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1.6107490854285711</v>
      </c>
      <c r="P16" s="31">
        <f>N16*'GWP CFs'!$B$3</f>
        <v>128.24094036599999</v>
      </c>
      <c r="Q16" s="31">
        <f>O16*'GWP CFs'!$B$4</f>
        <v>426.84850763857133</v>
      </c>
      <c r="R16" s="33">
        <f>M16+P16+Q16</f>
        <v>2937.8095388912384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2382.7200908866671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4.5800335844999998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1.6107490854285711</v>
      </c>
      <c r="V16" s="31">
        <f>T16*'GWP CFs'!$B$3</f>
        <v>128.24094036599999</v>
      </c>
      <c r="W16" s="31">
        <f>U16*'GWP CFs'!$B$4</f>
        <v>426.84850763857133</v>
      </c>
      <c r="X16" s="33">
        <f>S16+V16+W16</f>
        <v>2937.8095388912384</v>
      </c>
      <c r="Y16" s="29">
        <f>[24]Table4.B!$C$10</f>
        <v>1470.2877719999999</v>
      </c>
      <c r="Z16" s="34">
        <v>0</v>
      </c>
      <c r="AA16" s="30">
        <v>0</v>
      </c>
    </row>
    <row r="17" spans="1:29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15.779701666666666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4.5079999999999999E-3</v>
      </c>
      <c r="E17" s="9">
        <f>[24]Table4.B!$P$10</f>
        <v>-4.3035550000000002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1.3433839999999999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17.123085666666665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1.19462</v>
      </c>
      <c r="L17" s="11">
        <f t="shared" si="2"/>
        <v>16.974321666666665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[24]Table4.B!$D$10</f>
        <v>1391.660586</v>
      </c>
      <c r="Z17" s="25">
        <v>0</v>
      </c>
      <c r="AA17" s="26">
        <v>0</v>
      </c>
    </row>
    <row r="18" spans="1:29" x14ac:dyDescent="0.35">
      <c r="A18" s="22" t="s">
        <v>44</v>
      </c>
      <c r="B18" s="12">
        <v>0</v>
      </c>
      <c r="C18" s="21">
        <v>0</v>
      </c>
      <c r="D18" s="48">
        <f>'[24]Table4(III)'!$D$13</f>
        <v>4.5079999999999999E-3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1.3433839999999999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1.3433839999999999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1.19462</v>
      </c>
      <c r="L18" s="11">
        <f t="shared" si="2"/>
        <v>1.19462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'[24]Table4(III)'!$B$13</f>
        <v>87.650143</v>
      </c>
      <c r="Z18" s="25">
        <v>0</v>
      </c>
      <c r="AA18" s="26">
        <v>0</v>
      </c>
    </row>
    <row r="19" spans="1:29" x14ac:dyDescent="0.35">
      <c r="A19" s="6" t="s">
        <v>45</v>
      </c>
      <c r="B19" s="49" t="str">
        <f>'[24]Table4(II)'!$G$22</f>
        <v>NO</v>
      </c>
      <c r="C19" s="48" t="str">
        <f>'[24]Table4(II)'!$I$22</f>
        <v>NO</v>
      </c>
      <c r="D19" s="48" t="str">
        <f>'[24]Table4(II)'!$H$22</f>
        <v>NO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'[24]Table4(II)'!$C$22</f>
        <v>NO</v>
      </c>
      <c r="Z19" s="25">
        <v>0</v>
      </c>
      <c r="AA19" s="26">
        <v>0</v>
      </c>
    </row>
    <row r="20" spans="1:29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2277.567504666667</v>
      </c>
      <c r="C20" s="48">
        <f>'[24]Table4(II)'!$I$18</f>
        <v>4.0270700000000001</v>
      </c>
      <c r="D20" s="25">
        <v>0</v>
      </c>
      <c r="E20" s="9">
        <f>[24]Table4.B!$Q$10</f>
        <v>-621.15477400000009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100.67675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2378.2442546666671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112.75796</v>
      </c>
      <c r="K20" s="25">
        <v>0</v>
      </c>
      <c r="L20" s="11">
        <f t="shared" si="2"/>
        <v>2390.3254646666669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B$3*44/12</f>
        <v>2366.9403892200003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E$3*44/28000</f>
        <v>1.6062410854285711</v>
      </c>
      <c r="P20" s="7">
        <f>N20*'GWP CFs'!$B$3</f>
        <v>0</v>
      </c>
      <c r="Q20" s="18">
        <f>O20*'GWP CFs'!$B$4</f>
        <v>425.65388763857135</v>
      </c>
      <c r="R20" s="11">
        <f>M20+P20+Q20</f>
        <v>2792.5942768585714</v>
      </c>
      <c r="S20" s="18">
        <f>AA20*EFs!$B$3*44/12</f>
        <v>2366.9403892200003</v>
      </c>
      <c r="T20" s="18">
        <f>AA20*0.95*EFs!$C$3/1000</f>
        <v>0</v>
      </c>
      <c r="U20" s="11">
        <f>AA20*EFs!$E$3*44/28000</f>
        <v>1.6062410854285711</v>
      </c>
      <c r="V20" s="18">
        <f>T20*'GWP CFs'!$B$3</f>
        <v>0</v>
      </c>
      <c r="W20" s="18">
        <f>U20*'GWP CFs'!$B$4</f>
        <v>425.65388763857135</v>
      </c>
      <c r="X20" s="11">
        <f>S20+V20+W20</f>
        <v>2792.5942768585714</v>
      </c>
      <c r="Y20" s="14">
        <f>[24]Table4.B!$E$10</f>
        <v>78.627185999999995</v>
      </c>
      <c r="Z20" s="25">
        <v>0</v>
      </c>
      <c r="AA20" s="39">
        <v>78.627185999999995</v>
      </c>
    </row>
    <row r="21" spans="1:29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0.05*EFs!$D$3/1000</f>
        <v>4.5800335844999998</v>
      </c>
      <c r="O21" s="26">
        <v>0</v>
      </c>
      <c r="P21" s="7">
        <f>N21*'GWP CFs'!$B$3</f>
        <v>128.24094036599999</v>
      </c>
      <c r="Q21" s="25">
        <v>0</v>
      </c>
      <c r="R21" s="11">
        <f>M21+P21+Q21</f>
        <v>128.24094036599999</v>
      </c>
      <c r="S21" s="25">
        <v>0</v>
      </c>
      <c r="T21" s="18">
        <f>AA20*0.05*EFs!$D$3/1000</f>
        <v>4.5800335844999998</v>
      </c>
      <c r="U21" s="42">
        <v>0</v>
      </c>
      <c r="V21" s="18">
        <f>T21*'GWP CFs'!$B$3</f>
        <v>128.24094036599999</v>
      </c>
      <c r="W21" s="25">
        <v>0</v>
      </c>
      <c r="X21" s="11">
        <f>V21</f>
        <v>128.24094036599999</v>
      </c>
      <c r="Y21" s="25">
        <v>0</v>
      </c>
      <c r="Z21" s="25">
        <v>0</v>
      </c>
      <c r="AA21" s="26">
        <v>0</v>
      </c>
    </row>
    <row r="22" spans="1:29" x14ac:dyDescent="0.35">
      <c r="A22" s="28" t="s">
        <v>7</v>
      </c>
      <c r="B22" s="29">
        <f>[24]Table4!$B$14</f>
        <v>1562.3426023333348</v>
      </c>
      <c r="C22" s="29">
        <f>[24]Summary1.As2!$C$22</f>
        <v>4.6710630000000002</v>
      </c>
      <c r="D22" s="29">
        <f>[24]Summary1.As2!$D$22</f>
        <v>6.5899999999999997E-4</v>
      </c>
      <c r="E22" s="30">
        <v>0</v>
      </c>
      <c r="F22" s="29">
        <f>[24]Summary2!$C$42</f>
        <v>116.77657499999999</v>
      </c>
      <c r="G22" s="29">
        <f>[24]Summary2!$D$42</f>
        <v>0.196382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1679.3155593333349</v>
      </c>
      <c r="I22" s="32">
        <f>[24]Summary2!$J$42</f>
        <v>1679.3155593333347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130.78976399999999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0.17463499999999998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1693.3070013333347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1756.0597664500001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5.2992576525000006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0.864046521642857</v>
      </c>
      <c r="P22" s="31">
        <f>N22*'GWP CFs'!$B$3</f>
        <v>148.37921427000001</v>
      </c>
      <c r="Q22" s="31">
        <f>O22*'GWP CFs'!$B$4</f>
        <v>228.97232823535711</v>
      </c>
      <c r="R22" s="33">
        <f>M22+P22+Q22</f>
        <v>2133.4113089553571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1756.0597664500001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5.2992576525000006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0.864046521642857</v>
      </c>
      <c r="V22" s="31">
        <f>T22*'GWP CFs'!$B$3</f>
        <v>148.37921427000001</v>
      </c>
      <c r="W22" s="31">
        <f>U22*'GWP CFs'!$B$4</f>
        <v>228.97232823535711</v>
      </c>
      <c r="X22" s="33">
        <f>S22+V22+W22</f>
        <v>2133.4113089553571</v>
      </c>
      <c r="Y22" s="29">
        <f>[24]Table4.C!$C$10</f>
        <v>1029.050301</v>
      </c>
      <c r="Z22" s="34">
        <v>0</v>
      </c>
      <c r="AA22" s="30">
        <v>0</v>
      </c>
    </row>
    <row r="23" spans="1:29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0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0</v>
      </c>
      <c r="E23" s="9" t="str">
        <f>[24]Table4.C!$P$10</f>
        <v>NO,NE,NA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0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0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0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0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[24]Table4.C!$D$10</f>
        <v>949.36221599999999</v>
      </c>
      <c r="Z23" s="25">
        <v>0</v>
      </c>
      <c r="AA23" s="26">
        <v>0</v>
      </c>
    </row>
    <row r="24" spans="1:29" x14ac:dyDescent="0.35">
      <c r="A24" s="22" t="s">
        <v>44</v>
      </c>
      <c r="B24" s="25">
        <v>0</v>
      </c>
      <c r="C24" s="25">
        <v>0</v>
      </c>
      <c r="D24" s="48" t="str">
        <f>'[24]Table4(III)'!$D$15</f>
        <v>NO,NA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0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0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0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0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>
        <f>'[24]Table4(III)'!$B$15</f>
        <v>538.45865000000003</v>
      </c>
      <c r="Z24" s="25">
        <v>0</v>
      </c>
      <c r="AA24" s="26">
        <v>0</v>
      </c>
    </row>
    <row r="25" spans="1:29" x14ac:dyDescent="0.35">
      <c r="A25" s="6" t="s">
        <v>45</v>
      </c>
      <c r="B25" s="49" t="str">
        <f>'[24]Table4(II)'!$G$30</f>
        <v>NO</v>
      </c>
      <c r="C25" s="48" t="str">
        <f>'[24]Table4(II)'!$I$30</f>
        <v>NO</v>
      </c>
      <c r="D25" s="48" t="str">
        <f>'[24]Table4(II)'!$H$30</f>
        <v>NO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'[24]Table4(II)'!$C$30</f>
        <v>NO</v>
      </c>
      <c r="Z25" s="25">
        <v>0</v>
      </c>
      <c r="AA25" s="26">
        <v>0</v>
      </c>
      <c r="AC25" s="82"/>
    </row>
    <row r="26" spans="1:29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1460.5740086666667</v>
      </c>
      <c r="C26" s="48">
        <f>'[24]Table4(II)'!$I$26</f>
        <v>4.6638489999999999</v>
      </c>
      <c r="D26" s="25">
        <v>0</v>
      </c>
      <c r="E26" s="9">
        <f>[24]Table4.C!$Q$10</f>
        <v>-398.33836600000001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116.596225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1577.1702336666667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130.587772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1591.1617806666668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$5*44/12</f>
        <v>1756.0597664500001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$5/1000</f>
        <v>1.2869625727500003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$5*44/28000</f>
        <v>0.864046521642857</v>
      </c>
      <c r="P26" s="7">
        <f>N26*'GWP CFs'!$B$3</f>
        <v>36.034952037000011</v>
      </c>
      <c r="Q26" s="7">
        <f>O26*'GWP CFs'!$B$4</f>
        <v>228.97232823535711</v>
      </c>
      <c r="R26" s="11">
        <f>M26+P26+Q26</f>
        <v>2021.0670467223572</v>
      </c>
      <c r="S26" s="18">
        <f>AA26*EFs!$B$5*44/12</f>
        <v>1756.0597664500001</v>
      </c>
      <c r="T26" s="18">
        <f>AA26*0.95*EFs!$C$5/1000</f>
        <v>1.2869625727500003</v>
      </c>
      <c r="U26" s="11">
        <f>AA26*EFs!$E$5*44/28000</f>
        <v>0.864046521642857</v>
      </c>
      <c r="V26" s="18">
        <f>T26*'GWP CFs'!$B$3</f>
        <v>36.034952037000011</v>
      </c>
      <c r="W26" s="18">
        <f>U26*'GWP CFs'!$B$4</f>
        <v>228.97232823535711</v>
      </c>
      <c r="X26" s="11">
        <f>S26+V26+W26</f>
        <v>2021.0670467223572</v>
      </c>
      <c r="Y26" s="14">
        <f>[24]Table4.C!$E$10</f>
        <v>79.688085000000001</v>
      </c>
      <c r="Z26" s="25">
        <v>0</v>
      </c>
      <c r="AA26" s="39">
        <v>79.688085000000001</v>
      </c>
      <c r="AB26" s="82"/>
      <c r="AC26" s="82"/>
    </row>
    <row r="27" spans="1:29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$5/1000</f>
        <v>4.0122950797500003</v>
      </c>
      <c r="O27" s="10">
        <v>0</v>
      </c>
      <c r="P27" s="7">
        <f>N27*'GWP CFs'!$B$3</f>
        <v>112.34426223300001</v>
      </c>
      <c r="Q27" s="21">
        <v>0</v>
      </c>
      <c r="R27" s="11">
        <f>P27</f>
        <v>112.34426223300001</v>
      </c>
      <c r="S27" s="25">
        <v>0</v>
      </c>
      <c r="T27" s="18">
        <f>AA26*0.05*EFs!$D$5/1000</f>
        <v>4.0122950797500003</v>
      </c>
      <c r="U27" s="26">
        <v>0</v>
      </c>
      <c r="V27" s="18">
        <f>T27*'GWP CFs'!$B$3</f>
        <v>112.34426223300001</v>
      </c>
      <c r="W27" s="25">
        <v>0</v>
      </c>
      <c r="X27" s="11">
        <f>V27</f>
        <v>112.34426223300001</v>
      </c>
      <c r="Y27" s="25">
        <v>0</v>
      </c>
      <c r="Z27" s="25">
        <v>0</v>
      </c>
      <c r="AA27" s="26">
        <v>0</v>
      </c>
    </row>
    <row r="28" spans="1:29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0</v>
      </c>
      <c r="T28" s="31">
        <f>T29+T30</f>
        <v>0</v>
      </c>
      <c r="U28" s="33">
        <f>U29</f>
        <v>0</v>
      </c>
      <c r="V28" s="31">
        <f>V29+V30</f>
        <v>0</v>
      </c>
      <c r="W28" s="31">
        <f>W29</f>
        <v>0</v>
      </c>
      <c r="X28" s="33">
        <f>X29+X30</f>
        <v>0</v>
      </c>
      <c r="Y28" s="34">
        <v>0</v>
      </c>
      <c r="Z28" s="34">
        <v>0</v>
      </c>
      <c r="AA28" s="30">
        <v>0</v>
      </c>
    </row>
    <row r="29" spans="1:29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0</v>
      </c>
      <c r="T29" s="18">
        <f>AA29*0.95*EFs!$C$9/1000</f>
        <v>0</v>
      </c>
      <c r="U29" s="11">
        <f>AA29*EFs!$E$9*44/28000</f>
        <v>0</v>
      </c>
      <c r="V29" s="18">
        <f>T29*'GWP CFs'!$B$3</f>
        <v>0</v>
      </c>
      <c r="W29" s="18">
        <f>U29*'GWP CFs'!$B$4</f>
        <v>0</v>
      </c>
      <c r="X29" s="11">
        <f>S29+V29+W29</f>
        <v>0</v>
      </c>
      <c r="Y29" s="25">
        <v>0</v>
      </c>
      <c r="Z29" s="25">
        <v>0</v>
      </c>
      <c r="AA29" s="39">
        <v>0</v>
      </c>
    </row>
    <row r="30" spans="1:29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0</v>
      </c>
      <c r="U30" s="42">
        <v>0</v>
      </c>
      <c r="V30" s="44">
        <f>T30*'GWP CFs'!$B$3</f>
        <v>0</v>
      </c>
      <c r="W30" s="90">
        <v>0</v>
      </c>
      <c r="X30" s="46">
        <f>V30</f>
        <v>0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topLeftCell="A13" zoomScale="60" zoomScaleNormal="60" workbookViewId="0">
      <selection activeCell="A30" sqref="A30:AA30"/>
    </sheetView>
  </sheetViews>
  <sheetFormatPr baseColWidth="10" defaultRowHeight="14.5" x14ac:dyDescent="0.35"/>
  <cols>
    <col min="1" max="1" width="47.7265625" customWidth="1"/>
  </cols>
  <sheetData>
    <row r="1" spans="1:27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2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[25]Summary1.As1!$B$7</f>
        <v>1535.4619552299944</v>
      </c>
      <c r="C3" s="8">
        <f>[25]Summary1.As1!$C$7</f>
        <v>7.9940531641323904</v>
      </c>
      <c r="D3" s="14">
        <f>[25]Summary1.As1!$D$7</f>
        <v>0.14506116326189999</v>
      </c>
      <c r="E3" s="26">
        <v>0</v>
      </c>
      <c r="F3" s="8">
        <f>[25]Summary2!C7</f>
        <v>199.85132910330975</v>
      </c>
      <c r="G3" s="8">
        <f>[25]Summary2!D7</f>
        <v>43.228226652046203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1778.5415109853504</v>
      </c>
      <c r="I3" s="9">
        <f>[25]Summary2!$J$7</f>
        <v>2190.4544093595518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223.83348859570694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38.4412082644035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1797.7366520901048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 t="str">
        <f>[25]Summary1.As2!$B$8</f>
        <v>NO,NE</v>
      </c>
      <c r="C4" s="29">
        <f>[25]Summary1.As2!$C$8</f>
        <v>1.45346070395143</v>
      </c>
      <c r="D4" s="29">
        <f>[25]Summary1.As2!$D$8</f>
        <v>9.7736692707209999E-2</v>
      </c>
      <c r="E4" s="30">
        <v>0</v>
      </c>
      <c r="F4" s="29">
        <f>[25]Summary2!$C$28</f>
        <v>36.336517598785747</v>
      </c>
      <c r="G4" s="29">
        <f>[25]Summary2!$D$28</f>
        <v>29.12553442674858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65.462052025534319</v>
      </c>
      <c r="I4" s="32">
        <f>[25]Summary2!$J$28</f>
        <v>65.462052025534334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40.696899710640039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25.900223567410649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66.597123278050688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25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[25]Summary1.As2!$C$9</f>
        <v>1.2664943529877599</v>
      </c>
      <c r="D5" s="21">
        <v>0</v>
      </c>
      <c r="E5" s="26">
        <v>0</v>
      </c>
      <c r="F5" s="8">
        <f>[25]Summary2!$C$29</f>
        <v>31.662358824694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31.662358824694</v>
      </c>
      <c r="I5" s="14">
        <f>[25]Summary2!$J$29</f>
        <v>31.662358824694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35.461841883657279</v>
      </c>
      <c r="K5" s="25">
        <v>0</v>
      </c>
      <c r="L5" s="11">
        <f t="shared" si="0"/>
        <v>35.461841883657279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25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[25]Summary1.As2!$C$10</f>
        <v>0.18696635096367001</v>
      </c>
      <c r="D6" s="14">
        <f>[25]Summary1.As2!$D$10</f>
        <v>3.4206745040190001E-2</v>
      </c>
      <c r="E6" s="26">
        <v>0</v>
      </c>
      <c r="F6" s="8">
        <f>[25]Summary2!C30</f>
        <v>4.6741587740917501</v>
      </c>
      <c r="G6" s="14">
        <f>[25]Summary2!D30</f>
        <v>10.193610021976619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14.867768796068368</v>
      </c>
      <c r="I6" s="14">
        <f>[25]Summary2!$J$30</f>
        <v>14.86776879606837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5.2350578269827599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9.0647874356503504</v>
      </c>
      <c r="L6" s="11">
        <f t="shared" si="0"/>
        <v>14.299845262633109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25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 t="str">
        <f>[25]Table3s2!$C$7</f>
        <v>NO,NA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0</v>
      </c>
      <c r="G7" s="25">
        <v>0</v>
      </c>
      <c r="H7" s="7">
        <f t="shared" si="1"/>
        <v>0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0</v>
      </c>
      <c r="K7" s="25">
        <v>0</v>
      </c>
      <c r="L7" s="11">
        <f t="shared" si="0"/>
        <v>0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25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[25]Summary1.As2!$C$12</f>
        <v>NA,NE</v>
      </c>
      <c r="D8" s="14">
        <f>[25]Summary1.As2!$D$12</f>
        <v>6.3529947667019998E-2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[25]Summary2!$D$32</f>
        <v>18.931924404771959</v>
      </c>
      <c r="H8" s="7">
        <f t="shared" si="1"/>
        <v>18.931924404771959</v>
      </c>
      <c r="I8" s="9">
        <f>[25]Summary2!$J$32</f>
        <v>18.931924404771959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16.8354361317603</v>
      </c>
      <c r="L8" s="11">
        <f t="shared" si="0"/>
        <v>16.8354361317603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25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 t="str">
        <f>[25]Table3.D!$E$17</f>
        <v>NO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0</v>
      </c>
      <c r="H9" s="7">
        <f t="shared" si="1"/>
        <v>0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0</v>
      </c>
      <c r="L9" s="11">
        <f t="shared" si="0"/>
        <v>0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8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0</v>
      </c>
      <c r="Z9" s="14" t="str">
        <f>[25]Table3.D!$C$17</f>
        <v>NO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[25]Table3s2!C9</f>
        <v>NO</v>
      </c>
      <c r="D10" s="14" t="str">
        <f>[25]Table3s2!D9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25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 t="str">
        <f>[25]Table3s2!C10</f>
        <v>NO,NA</v>
      </c>
      <c r="D11" s="14" t="str">
        <f>[25]Table3s2!D10</f>
        <v>NO,NA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0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0</v>
      </c>
      <c r="H11" s="7">
        <f t="shared" si="1"/>
        <v>0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0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0</v>
      </c>
      <c r="L11" s="11">
        <f t="shared" si="0"/>
        <v>0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25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 t="str">
        <f>[25]Table3s2!B11</f>
        <v>NO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0</v>
      </c>
      <c r="I12" s="26">
        <v>0</v>
      </c>
      <c r="J12" s="25">
        <v>0</v>
      </c>
      <c r="K12" s="25">
        <v>0</v>
      </c>
      <c r="L12" s="11">
        <f t="shared" si="0"/>
        <v>0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25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 t="str">
        <f>[25]Table3s2!B12</f>
        <v>NE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0</v>
      </c>
      <c r="I13" s="26">
        <v>0</v>
      </c>
      <c r="J13" s="25">
        <v>0</v>
      </c>
      <c r="K13" s="25">
        <v>0</v>
      </c>
      <c r="L13" s="11">
        <f t="shared" si="0"/>
        <v>0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25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 t="str">
        <f>[25]Table3s2!B13</f>
        <v>NO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25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[25]Table3s2!B14</f>
        <v/>
      </c>
      <c r="C15" s="14" t="str">
        <f>[25]Table3s2!C14</f>
        <v>NA</v>
      </c>
      <c r="D15" s="14" t="str">
        <f>[25]Table3s2!D14</f>
        <v>NA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25">
        <v>0</v>
      </c>
      <c r="Z15" s="25">
        <v>0</v>
      </c>
      <c r="AA15" s="42">
        <v>0</v>
      </c>
    </row>
    <row r="16" spans="1:27" x14ac:dyDescent="0.35">
      <c r="A16" s="28" t="s">
        <v>8</v>
      </c>
      <c r="B16" s="29">
        <f>[25]Table4!$B$11</f>
        <v>2.63533966666667</v>
      </c>
      <c r="C16" s="29" t="str">
        <f>[25]Summary1.As2!$C$21</f>
        <v>NO,NE</v>
      </c>
      <c r="D16" s="29">
        <f>[25]Summary1.As2!$D$21</f>
        <v>1.0709999999999999E-3</v>
      </c>
      <c r="E16" s="30">
        <v>0</v>
      </c>
      <c r="F16" s="29" t="str">
        <f>[25]Summary2!$C$41</f>
        <v>NO,NE</v>
      </c>
      <c r="G16" s="29">
        <f>[25]Summary2!$D$41</f>
        <v>0.319158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2.9544976666666698</v>
      </c>
      <c r="I16" s="32">
        <f>[25]Summary2!$J$41</f>
        <v>2.9544976666666698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0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0.28381499999999998</v>
      </c>
      <c r="L16" s="11">
        <f t="shared" si="2"/>
        <v>2.9191546666666701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3.6998756666666668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0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1.0709999999999999E-3</v>
      </c>
      <c r="P16" s="31">
        <f>N16*'GWP CFs'!$B$3</f>
        <v>0</v>
      </c>
      <c r="Q16" s="31">
        <f>O16*'GWP CFs'!$B$4</f>
        <v>0.28381499999999998</v>
      </c>
      <c r="R16" s="33">
        <f>M16+P16+Q16</f>
        <v>3.9836906666666669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3.6998756666666668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0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1.0709999999999999E-3</v>
      </c>
      <c r="V16" s="31">
        <f>T16*'GWP CFs'!$B$3</f>
        <v>0</v>
      </c>
      <c r="W16" s="31">
        <f>U16*'GWP CFs'!$B$4</f>
        <v>0.28381499999999998</v>
      </c>
      <c r="X16" s="33">
        <f>S16+V16+W16</f>
        <v>3.9836906666666669</v>
      </c>
      <c r="Y16" s="29">
        <f>[25]Table4.B!$C$10</f>
        <v>4.1420000000000003</v>
      </c>
      <c r="Z16" s="34">
        <v>0</v>
      </c>
      <c r="AA16" s="30">
        <v>0</v>
      </c>
    </row>
    <row r="17" spans="1:27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3.6998756666666668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1.0709999999999999E-3</v>
      </c>
      <c r="E17" s="9">
        <f>[25]Table4.B!$P$10</f>
        <v>-1.0090570000000001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0.319158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4.0190336666666671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0.28381499999999998</v>
      </c>
      <c r="L17" s="11">
        <f t="shared" si="2"/>
        <v>3.9836906666666669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[25]Table4.B!$D$10</f>
        <v>4.1420000000000003</v>
      </c>
      <c r="Z17" s="25">
        <v>0</v>
      </c>
      <c r="AA17" s="26">
        <v>0</v>
      </c>
    </row>
    <row r="18" spans="1:27" x14ac:dyDescent="0.35">
      <c r="A18" s="22" t="s">
        <v>44</v>
      </c>
      <c r="B18" s="12">
        <v>0</v>
      </c>
      <c r="C18" s="21">
        <v>0</v>
      </c>
      <c r="D18" s="48">
        <f>'[25]Table4(III)'!$D$13</f>
        <v>1.0709999999999999E-3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0.319158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0.319158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0.28381499999999998</v>
      </c>
      <c r="L18" s="11">
        <f t="shared" si="2"/>
        <v>0.28381499999999998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'[25]Table4(III)'!$B$13</f>
        <v>2.7559999999999998</v>
      </c>
      <c r="Z18" s="25">
        <v>0</v>
      </c>
      <c r="AA18" s="26">
        <v>0</v>
      </c>
    </row>
    <row r="19" spans="1:27" x14ac:dyDescent="0.35">
      <c r="A19" s="6" t="s">
        <v>45</v>
      </c>
      <c r="B19" s="49" t="str">
        <f>'[25]Table4(II)'!$G$22</f>
        <v>NO</v>
      </c>
      <c r="C19" s="48" t="str">
        <f>'[25]Table4(II)'!$I$22</f>
        <v>NO</v>
      </c>
      <c r="D19" s="48" t="str">
        <f>'[25]Table4(II)'!$H$22</f>
        <v>NO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'[25]Table4(II)'!$C$22</f>
        <v>NO</v>
      </c>
      <c r="Z19" s="25">
        <v>0</v>
      </c>
      <c r="AA19" s="26">
        <v>0</v>
      </c>
    </row>
    <row r="20" spans="1:27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0</v>
      </c>
      <c r="C20" s="48" t="str">
        <f>'[25]Table4(II)'!$I$18</f>
        <v>NO</v>
      </c>
      <c r="D20" s="25">
        <v>0</v>
      </c>
      <c r="E20" s="9" t="str">
        <f>[25]Table4.B!$Q$10</f>
        <v>NO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0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0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0</v>
      </c>
      <c r="K20" s="25">
        <v>0</v>
      </c>
      <c r="L20" s="11">
        <f t="shared" si="2"/>
        <v>0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B$3*44/12</f>
        <v>0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E$3*44/28000</f>
        <v>0</v>
      </c>
      <c r="P20" s="7">
        <f>N20*'GWP CFs'!$B$3</f>
        <v>0</v>
      </c>
      <c r="Q20" s="18">
        <f>O20*'GWP CFs'!$B$4</f>
        <v>0</v>
      </c>
      <c r="R20" s="11">
        <f>M20+P20+Q20</f>
        <v>0</v>
      </c>
      <c r="S20" s="18">
        <f>AA20*EFs!$B$3*44/12</f>
        <v>0</v>
      </c>
      <c r="T20" s="18">
        <f>AA20*0.95*EFs!$C$3/1000</f>
        <v>0</v>
      </c>
      <c r="U20" s="11">
        <f>AA20*EFs!$E$3*44/28000</f>
        <v>0</v>
      </c>
      <c r="V20" s="18">
        <f>T20*'GWP CFs'!$B$3</f>
        <v>0</v>
      </c>
      <c r="W20" s="18">
        <f>U20*'GWP CFs'!$B$4</f>
        <v>0</v>
      </c>
      <c r="X20" s="11">
        <f>S20+V20+W20</f>
        <v>0</v>
      </c>
      <c r="Y20" s="14" t="str">
        <f>[25]Table4.B!$E$10</f>
        <v>NO</v>
      </c>
      <c r="Z20" s="25">
        <v>0</v>
      </c>
      <c r="AA20" s="39">
        <v>0</v>
      </c>
    </row>
    <row r="21" spans="1:27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0.05*EFs!$D$3/1000</f>
        <v>0</v>
      </c>
      <c r="O21" s="26">
        <v>0</v>
      </c>
      <c r="P21" s="7">
        <f>N21*'GWP CFs'!$B$3</f>
        <v>0</v>
      </c>
      <c r="Q21" s="25">
        <v>0</v>
      </c>
      <c r="R21" s="11">
        <f>M21+P21+Q21</f>
        <v>0</v>
      </c>
      <c r="S21" s="25">
        <v>0</v>
      </c>
      <c r="T21" s="18">
        <f>AA20*0.05*EFs!$D$3/1000</f>
        <v>0</v>
      </c>
      <c r="U21" s="42">
        <v>0</v>
      </c>
      <c r="V21" s="18">
        <f>T21*'GWP CFs'!$B$3</f>
        <v>0</v>
      </c>
      <c r="W21" s="25">
        <v>0</v>
      </c>
      <c r="X21" s="11">
        <f>V21</f>
        <v>0</v>
      </c>
      <c r="Y21" s="25">
        <v>0</v>
      </c>
      <c r="Z21" s="25">
        <v>0</v>
      </c>
      <c r="AA21" s="26">
        <v>0</v>
      </c>
    </row>
    <row r="22" spans="1:27" x14ac:dyDescent="0.35">
      <c r="A22" s="28" t="s">
        <v>7</v>
      </c>
      <c r="B22" s="29">
        <f>[25]Table4!$B$14</f>
        <v>-0.27918733333334</v>
      </c>
      <c r="C22" s="29" t="str">
        <f>[25]Summary1.As2!$C$22</f>
        <v>NO</v>
      </c>
      <c r="D22" s="29" t="str">
        <f>[25]Summary1.As2!$D$22</f>
        <v>NO</v>
      </c>
      <c r="E22" s="30">
        <v>0</v>
      </c>
      <c r="F22" s="29" t="str">
        <f>[25]Summary2!$C$42</f>
        <v>NO</v>
      </c>
      <c r="G22" s="29" t="str">
        <f>[25]Summary2!$D$42</f>
        <v>NO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-0.27918733333334</v>
      </c>
      <c r="I22" s="32">
        <f>[25]Summary2!$J$42</f>
        <v>-0.27918733333334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0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0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-0.27918733333334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-0.27906999999999998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0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0</v>
      </c>
      <c r="P22" s="31">
        <f>N22*'GWP CFs'!$B$3</f>
        <v>0</v>
      </c>
      <c r="Q22" s="31">
        <f>O22*'GWP CFs'!$B$4</f>
        <v>0</v>
      </c>
      <c r="R22" s="33">
        <f>M22+P22+Q22</f>
        <v>-0.27906999999999998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-0.27906999999999998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0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0</v>
      </c>
      <c r="V22" s="31">
        <f>T22*'GWP CFs'!$B$3</f>
        <v>0</v>
      </c>
      <c r="W22" s="31">
        <f>U22*'GWP CFs'!$B$4</f>
        <v>0</v>
      </c>
      <c r="X22" s="33">
        <f>S22+V22+W22</f>
        <v>-0.27906999999999998</v>
      </c>
      <c r="Y22" s="29">
        <f>[25]Table4.C!$C$10</f>
        <v>10.055999999999999</v>
      </c>
      <c r="Z22" s="34">
        <v>0</v>
      </c>
      <c r="AA22" s="30">
        <v>0</v>
      </c>
    </row>
    <row r="23" spans="1:27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-0.27906999999999998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0</v>
      </c>
      <c r="E23" s="9">
        <f>[25]Table4.C!$P$10</f>
        <v>7.6109999999999997E-2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0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-0.27906999999999998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0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-0.27906999999999998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[25]Table4.C!$D$10</f>
        <v>10.055999999999999</v>
      </c>
      <c r="Z23" s="25">
        <v>0</v>
      </c>
      <c r="AA23" s="26">
        <v>0</v>
      </c>
    </row>
    <row r="24" spans="1:27" x14ac:dyDescent="0.35">
      <c r="A24" s="22" t="s">
        <v>44</v>
      </c>
      <c r="B24" s="25">
        <v>0</v>
      </c>
      <c r="C24" s="25">
        <v>0</v>
      </c>
      <c r="D24" s="48" t="str">
        <f>'[25]Table4(III)'!$D$15</f>
        <v>NO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0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0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0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0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 t="str">
        <f>'[25]Table4(III)'!$B$15</f>
        <v>NO</v>
      </c>
      <c r="Z24" s="25">
        <v>0</v>
      </c>
      <c r="AA24" s="26">
        <v>0</v>
      </c>
    </row>
    <row r="25" spans="1:27" x14ac:dyDescent="0.35">
      <c r="A25" s="6" t="s">
        <v>45</v>
      </c>
      <c r="B25" s="49" t="str">
        <f>'[25]Table4(II)'!$G$33</f>
        <v>NO</v>
      </c>
      <c r="C25" s="48" t="str">
        <f>'[25]Table4(II)'!$I$33</f>
        <v>NO</v>
      </c>
      <c r="D25" s="48" t="str">
        <f>'[25]Table4(II)'!$H$33</f>
        <v>NO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'[25]Table4(II)'!$C$33</f>
        <v>NO</v>
      </c>
      <c r="Z25" s="25">
        <v>0</v>
      </c>
      <c r="AA25" s="26">
        <v>0</v>
      </c>
    </row>
    <row r="26" spans="1:27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0</v>
      </c>
      <c r="C26" s="48" t="str">
        <f>'[25]Table4(II)'!$I$26</f>
        <v>NO</v>
      </c>
      <c r="D26" s="25">
        <v>0</v>
      </c>
      <c r="E26" s="9" t="str">
        <f>[25]Table4.C!$Q$10</f>
        <v>NO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0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0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0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0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$5*44/12</f>
        <v>0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$5/1000</f>
        <v>0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$5*44/28000</f>
        <v>0</v>
      </c>
      <c r="P26" s="7">
        <f>N26*'GWP CFs'!$B$3</f>
        <v>0</v>
      </c>
      <c r="Q26" s="7">
        <f>O26*'GWP CFs'!$B$4</f>
        <v>0</v>
      </c>
      <c r="R26" s="11">
        <f>M26+P26+Q26</f>
        <v>0</v>
      </c>
      <c r="S26" s="18">
        <f>AA26*EFs!$B$5*44/12</f>
        <v>0</v>
      </c>
      <c r="T26" s="18">
        <f>AA26*0.95*EFs!$C$5/1000</f>
        <v>0</v>
      </c>
      <c r="U26" s="11">
        <f>AA26*EFs!$E$5*44/28000</f>
        <v>0</v>
      </c>
      <c r="V26" s="18">
        <f>T26*'GWP CFs'!$B$3</f>
        <v>0</v>
      </c>
      <c r="W26" s="18">
        <f>U26*'GWP CFs'!$B$4</f>
        <v>0</v>
      </c>
      <c r="X26" s="11">
        <f>S26+V26+W26</f>
        <v>0</v>
      </c>
      <c r="Y26" s="14" t="str">
        <f>[25]Table4.C!$E$10</f>
        <v>NO</v>
      </c>
      <c r="Z26" s="25">
        <v>0</v>
      </c>
      <c r="AA26" s="39">
        <v>0</v>
      </c>
    </row>
    <row r="27" spans="1:27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$5/1000</f>
        <v>0</v>
      </c>
      <c r="O27" s="10">
        <v>0</v>
      </c>
      <c r="P27" s="7">
        <f>N27*'GWP CFs'!$B$3</f>
        <v>0</v>
      </c>
      <c r="Q27" s="21">
        <v>0</v>
      </c>
      <c r="R27" s="11">
        <f>P27</f>
        <v>0</v>
      </c>
      <c r="S27" s="25">
        <v>0</v>
      </c>
      <c r="T27" s="18">
        <f>AA26*0.05*EFs!$D$5/1000</f>
        <v>0</v>
      </c>
      <c r="U27" s="26">
        <v>0</v>
      </c>
      <c r="V27" s="18">
        <f>T27*'GWP CFs'!$B$3</f>
        <v>0</v>
      </c>
      <c r="W27" s="25">
        <v>0</v>
      </c>
      <c r="X27" s="11">
        <f>V27</f>
        <v>0</v>
      </c>
      <c r="Y27" s="25">
        <v>0</v>
      </c>
      <c r="Z27" s="25">
        <v>0</v>
      </c>
      <c r="AA27" s="26">
        <v>0</v>
      </c>
    </row>
    <row r="28" spans="1:27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0</v>
      </c>
      <c r="T28" s="31">
        <f>T29+T30</f>
        <v>0</v>
      </c>
      <c r="U28" s="33">
        <f>U29</f>
        <v>0</v>
      </c>
      <c r="V28" s="31">
        <f>V29+V30</f>
        <v>0</v>
      </c>
      <c r="W28" s="31">
        <f>W29</f>
        <v>0</v>
      </c>
      <c r="X28" s="33">
        <f>X29+X30</f>
        <v>0</v>
      </c>
      <c r="Y28" s="34">
        <v>0</v>
      </c>
      <c r="Z28" s="34">
        <v>0</v>
      </c>
      <c r="AA28" s="30">
        <v>0</v>
      </c>
    </row>
    <row r="29" spans="1:27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0</v>
      </c>
      <c r="T29" s="18">
        <f>AA29*0.95*EFs!$C$9/1000</f>
        <v>0</v>
      </c>
      <c r="U29" s="11">
        <f>AA29*EFs!$E$9*44/28000</f>
        <v>0</v>
      </c>
      <c r="V29" s="18">
        <f>T29*'GWP CFs'!$B$3</f>
        <v>0</v>
      </c>
      <c r="W29" s="18">
        <f>U29*'GWP CFs'!$B$4</f>
        <v>0</v>
      </c>
      <c r="X29" s="11">
        <f>S29+V29+W29</f>
        <v>0</v>
      </c>
      <c r="Y29" s="25">
        <v>0</v>
      </c>
      <c r="Z29" s="25">
        <v>0</v>
      </c>
      <c r="AA29" s="39">
        <v>0</v>
      </c>
    </row>
    <row r="30" spans="1:27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0</v>
      </c>
      <c r="U30" s="42">
        <v>0</v>
      </c>
      <c r="V30" s="44">
        <f>T30*'GWP CFs'!$B$3</f>
        <v>0</v>
      </c>
      <c r="W30" s="90">
        <v>0</v>
      </c>
      <c r="X30" s="46">
        <f>V30</f>
        <v>0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zoomScale="60" zoomScaleNormal="60" workbookViewId="0">
      <selection activeCell="AA26" sqref="AA26"/>
    </sheetView>
  </sheetViews>
  <sheetFormatPr baseColWidth="10" defaultRowHeight="14.5" x14ac:dyDescent="0.35"/>
  <cols>
    <col min="1" max="1" width="47.7265625" customWidth="1"/>
  </cols>
  <sheetData>
    <row r="1" spans="1:27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88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[26]Summary1.As1!$B$7</f>
        <v>164985.06331357185</v>
      </c>
      <c r="C3" s="8">
        <f>[26]Summary1.As1!$C$7</f>
        <v>692.36404418791267</v>
      </c>
      <c r="D3" s="14">
        <f>[26]Summary1.As1!$D$7</f>
        <v>28.351614005780679</v>
      </c>
      <c r="E3" s="26">
        <v>0</v>
      </c>
      <c r="F3" s="8">
        <f>[26]Summary2!C7</f>
        <v>17309.101104697816</v>
      </c>
      <c r="G3" s="8">
        <f>[26]Summary2!D7</f>
        <v>8448.7809737226435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190742.94539199231</v>
      </c>
      <c r="I3" s="9">
        <f>[26]Summary2!$J$7</f>
        <v>192671.29051482861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19386.193237261556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7513.17771153188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191884.43426236528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[26]Summary1.As2!$B$8</f>
        <v>35.8751584596993</v>
      </c>
      <c r="C4" s="29">
        <f>[26]Summary1.As2!$C$8</f>
        <v>483.01463490817304</v>
      </c>
      <c r="D4" s="29">
        <f>[26]Summary1.As2!$D$8</f>
        <v>20.548025984428651</v>
      </c>
      <c r="E4" s="30">
        <v>0</v>
      </c>
      <c r="F4" s="29">
        <f>[26]Summary2!$C$28</f>
        <v>12075.365872704326</v>
      </c>
      <c r="G4" s="29">
        <f>[26]Summary2!$D$28</f>
        <v>6123.3117433597381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18234.552774523763</v>
      </c>
      <c r="I4" s="32">
        <f>[26]Summary2!$J$28</f>
        <v>18234.552774523763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13524.409777428846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5445.2268858735924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19005.511821762138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41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[26]Summary1.As2!$C$9</f>
        <v>330.73177974108211</v>
      </c>
      <c r="D5" s="21">
        <v>0</v>
      </c>
      <c r="E5" s="26">
        <v>0</v>
      </c>
      <c r="F5" s="8">
        <f>[26]Summary2!$C$29</f>
        <v>8268.2944935270534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8268.2944935270534</v>
      </c>
      <c r="I5" s="14">
        <f>[26]Summary2!$J$29</f>
        <v>8268.2944935270534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9260.4898327502997</v>
      </c>
      <c r="K5" s="25">
        <v>0</v>
      </c>
      <c r="L5" s="11">
        <f t="shared" si="0"/>
        <v>9260.4898327502997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41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[26]Summary1.As2!$C$10</f>
        <v>152.28285516709093</v>
      </c>
      <c r="D6" s="14">
        <f>[26]Summary1.As2!$D$10</f>
        <v>2.6077678128800001</v>
      </c>
      <c r="E6" s="26">
        <v>0</v>
      </c>
      <c r="F6" s="8">
        <f>[26]Summary2!C30</f>
        <v>3807.0713791772728</v>
      </c>
      <c r="G6" s="14">
        <f>[26]Summary2!D30</f>
        <v>777.11480823824002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4584.1861874155129</v>
      </c>
      <c r="I6" s="14">
        <f>[26]Summary2!$J$30</f>
        <v>4584.1861874155129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4263.919944678546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691.05847041319998</v>
      </c>
      <c r="L6" s="11">
        <f t="shared" si="0"/>
        <v>4954.9784150917458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41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 t="str">
        <f>[26]Table3s2!$C$7</f>
        <v>NO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0</v>
      </c>
      <c r="G7" s="25">
        <v>0</v>
      </c>
      <c r="H7" s="7">
        <f t="shared" si="1"/>
        <v>0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0</v>
      </c>
      <c r="K7" s="25">
        <v>0</v>
      </c>
      <c r="L7" s="11">
        <f t="shared" si="0"/>
        <v>0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41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[26]Summary1.As2!$C$12</f>
        <v>NO</v>
      </c>
      <c r="D8" s="14">
        <f>[26]Summary1.As2!$D$12</f>
        <v>17.940258171548649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[26]Summary2!$D$32</f>
        <v>5346.1969351214975</v>
      </c>
      <c r="H8" s="7">
        <f t="shared" si="1"/>
        <v>5346.1969351214975</v>
      </c>
      <c r="I8" s="9">
        <f>[26]Summary2!$J$32</f>
        <v>5346.1969351214975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4754.1684154603918</v>
      </c>
      <c r="L8" s="11">
        <f t="shared" si="0"/>
        <v>4754.1684154603918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41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>
        <f>[26]Table3.D!$E$17</f>
        <v>2.29569692867973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684.11768474655958</v>
      </c>
      <c r="H9" s="7">
        <f t="shared" si="1"/>
        <v>684.11768474655958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608.35968610012844</v>
      </c>
      <c r="L9" s="11">
        <f t="shared" si="0"/>
        <v>608.35968610012844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7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328.56188699826697</v>
      </c>
      <c r="Z9" s="14">
        <f>[26]Table3.D!$C$17</f>
        <v>328561.88699826697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[26]Table3s2!C9</f>
        <v>NO</v>
      </c>
      <c r="D10" s="14" t="str">
        <f>[26]Table3s2!D9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41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 t="str">
        <f>[26]Table3s2!C10</f>
        <v>NO</v>
      </c>
      <c r="D11" s="14" t="str">
        <f>[26]Table3s2!D10</f>
        <v>NO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0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0</v>
      </c>
      <c r="H11" s="7">
        <f t="shared" si="1"/>
        <v>0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0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0</v>
      </c>
      <c r="L11" s="11">
        <f t="shared" si="0"/>
        <v>0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41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>
        <f>[26]Table3s2!B11</f>
        <v>35.8751584596993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35.8751584596993</v>
      </c>
      <c r="I12" s="26">
        <v>0</v>
      </c>
      <c r="J12" s="25">
        <v>0</v>
      </c>
      <c r="K12" s="25">
        <v>0</v>
      </c>
      <c r="L12" s="11">
        <f t="shared" si="0"/>
        <v>35.8751584596993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41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 t="str">
        <f>[26]Table3s2!B12</f>
        <v>IE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0</v>
      </c>
      <c r="I13" s="26">
        <v>0</v>
      </c>
      <c r="J13" s="25">
        <v>0</v>
      </c>
      <c r="K13" s="25">
        <v>0</v>
      </c>
      <c r="L13" s="11">
        <f t="shared" si="0"/>
        <v>0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41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 t="str">
        <f>[26]Table3s2!B13</f>
        <v>NO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41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[26]Table3s2!B14</f>
        <v>NO</v>
      </c>
      <c r="C15" s="14" t="str">
        <f>[26]Table3s2!C14</f>
        <v>NA</v>
      </c>
      <c r="D15" s="14" t="str">
        <f>[26]Table3s2!D14</f>
        <v>NA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89">
        <v>0</v>
      </c>
      <c r="Z15" s="90">
        <v>0</v>
      </c>
      <c r="AA15" s="42">
        <v>0</v>
      </c>
    </row>
    <row r="16" spans="1:27" x14ac:dyDescent="0.35">
      <c r="A16" s="28" t="s">
        <v>8</v>
      </c>
      <c r="B16" s="29">
        <f>[26]Table4!$B$11</f>
        <v>1619.6420899717903</v>
      </c>
      <c r="C16" s="29" t="str">
        <f>[26]Summary1.As2!$C$21</f>
        <v>NO,NE,IE</v>
      </c>
      <c r="D16" s="29">
        <f>[26]Summary1.As2!$D$21</f>
        <v>0.16280028399999999</v>
      </c>
      <c r="E16" s="30">
        <v>0</v>
      </c>
      <c r="F16" s="29" t="str">
        <f>[26]Summary2!$C$41</f>
        <v>NO,NE,IE</v>
      </c>
      <c r="G16" s="29">
        <f>[26]Summary2!$D$41</f>
        <v>48.514484631999998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1668.1565746037902</v>
      </c>
      <c r="I16" s="32">
        <f>[26]Summary2!$J$41</f>
        <v>1668.1565746037902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0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43.142075259999999</v>
      </c>
      <c r="L16" s="11">
        <f t="shared" si="2"/>
        <v>1662.7841652317902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2343.8542846913006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3.5418226707580245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1.4049355186251318</v>
      </c>
      <c r="P16" s="31">
        <f>N16*'GWP CFs'!$B$3</f>
        <v>99.171034781224691</v>
      </c>
      <c r="Q16" s="31">
        <f>O16*'GWP CFs'!$B$4</f>
        <v>372.30791243565994</v>
      </c>
      <c r="R16" s="33">
        <f>M16+P16+Q16</f>
        <v>2815.3332319081851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2343.8542945062668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3.54182268975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1.4049355252857143</v>
      </c>
      <c r="V16" s="31">
        <f>T16*'GWP CFs'!$B$3</f>
        <v>99.171035313000004</v>
      </c>
      <c r="W16" s="31">
        <f>U16*'GWP CFs'!$B$4</f>
        <v>372.30791420071427</v>
      </c>
      <c r="X16" s="33">
        <f>S16+V16+W16</f>
        <v>2815.3332440199811</v>
      </c>
      <c r="Y16" s="29">
        <f>[26]Table4.B!$C$10</f>
        <v>833.07189490365749</v>
      </c>
      <c r="Z16" s="34">
        <v>0</v>
      </c>
      <c r="AA16" s="30">
        <v>0</v>
      </c>
    </row>
    <row r="17" spans="1:29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513.4565427962666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0.16280028399999999</v>
      </c>
      <c r="E17" s="9">
        <f>[26]Table4.B!$P$10</f>
        <v>-140.03360258079999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48.514484631999998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561.97102742826655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43.142075259999999</v>
      </c>
      <c r="L17" s="11">
        <f t="shared" si="2"/>
        <v>556.59861805626656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[26]Table4.B!$D$10</f>
        <v>772.26807222970001</v>
      </c>
      <c r="Z17" s="25">
        <v>0</v>
      </c>
      <c r="AA17" s="26">
        <v>0</v>
      </c>
    </row>
    <row r="18" spans="1:29" x14ac:dyDescent="0.35">
      <c r="A18" s="22" t="s">
        <v>44</v>
      </c>
      <c r="B18" s="12">
        <v>0</v>
      </c>
      <c r="C18" s="21">
        <v>0</v>
      </c>
      <c r="D18" s="48">
        <f>'[26]Table4(III)'!$D$18</f>
        <v>0.16280028399999999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48.514484631999998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48.514484631999998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43.142075259999999</v>
      </c>
      <c r="L18" s="11">
        <f t="shared" si="2"/>
        <v>43.142075259999999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'[26]Table4(III)'!$B$18</f>
        <v>262.36616500000002</v>
      </c>
      <c r="Z18" s="25">
        <v>0</v>
      </c>
      <c r="AA18" s="26">
        <v>0</v>
      </c>
    </row>
    <row r="19" spans="1:29" x14ac:dyDescent="0.35">
      <c r="A19" s="6" t="s">
        <v>45</v>
      </c>
      <c r="B19" s="49" t="str">
        <f>'[26]Table4(II)'!$G$23</f>
        <v>NE</v>
      </c>
      <c r="C19" s="48" t="str">
        <f>'[26]Table4(II)'!$I$23</f>
        <v>NE</v>
      </c>
      <c r="D19" s="48" t="str">
        <f>'[26]Table4(II)'!$H$23</f>
        <v>NE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'[26]Table4(II)'!$C$23</f>
        <v>NE</v>
      </c>
      <c r="Z19" s="25">
        <v>0</v>
      </c>
      <c r="AA19" s="26">
        <v>0</v>
      </c>
    </row>
    <row r="20" spans="1:29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811.83322095258529</v>
      </c>
      <c r="C20" s="48" t="str">
        <f>'[26]Table4(II)'!$I$18</f>
        <v>NE</v>
      </c>
      <c r="D20" s="25">
        <v>0</v>
      </c>
      <c r="E20" s="9">
        <f>[26]Table4.B!$Q$10</f>
        <v>-221.40906025979601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0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811.83322095258529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0</v>
      </c>
      <c r="K20" s="25">
        <v>0</v>
      </c>
      <c r="L20" s="11">
        <f t="shared" si="2"/>
        <v>811.83322095258529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EFs!$B$3*44/12</f>
        <v>1830.3977418950342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EFs!$E$3*44/28000</f>
        <v>1.2421352346251318</v>
      </c>
      <c r="P20" s="7">
        <f>N20*'GWP CFs'!$B$3</f>
        <v>0</v>
      </c>
      <c r="Q20" s="18">
        <f>O20*'GWP CFs'!$B$4</f>
        <v>329.16583717565993</v>
      </c>
      <c r="R20" s="11">
        <f>M20+P20+Q20</f>
        <v>2159.5635790706942</v>
      </c>
      <c r="S20" s="18">
        <f>AA20*EFs!$B$3*44/12</f>
        <v>1830.3977517100002</v>
      </c>
      <c r="T20" s="18">
        <f>AA20*0.95*EFs!$C$3/1000</f>
        <v>0</v>
      </c>
      <c r="U20" s="11">
        <f>AA20*EFs!$E$3*44/28000</f>
        <v>1.2421352412857143</v>
      </c>
      <c r="V20" s="18">
        <f>T20*'GWP CFs'!$B$3</f>
        <v>0</v>
      </c>
      <c r="W20" s="18">
        <f>U20*'GWP CFs'!$B$4</f>
        <v>329.16583894071431</v>
      </c>
      <c r="X20" s="11">
        <f>S20+V20+W20</f>
        <v>2159.5635906507146</v>
      </c>
      <c r="Y20" s="14">
        <f>[26]Table4.B!$E$10</f>
        <v>60.803822673957498</v>
      </c>
      <c r="Z20" s="25">
        <v>0</v>
      </c>
      <c r="AA20" s="39">
        <v>60.803823000000001</v>
      </c>
    </row>
    <row r="21" spans="1:29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0.05*EFs!$D$3/1000</f>
        <v>3.5418226707580245</v>
      </c>
      <c r="O21" s="26">
        <v>0</v>
      </c>
      <c r="P21" s="7">
        <f>N21*'GWP CFs'!$B$3</f>
        <v>99.171034781224691</v>
      </c>
      <c r="Q21" s="25">
        <v>0</v>
      </c>
      <c r="R21" s="11">
        <f>M21+P21+Q21</f>
        <v>99.171034781224691</v>
      </c>
      <c r="S21" s="25">
        <v>0</v>
      </c>
      <c r="T21" s="18">
        <f>AA20*0.05*EFs!$D$3/1000</f>
        <v>3.54182268975</v>
      </c>
      <c r="U21" s="42">
        <v>0</v>
      </c>
      <c r="V21" s="18">
        <f>T21*'GWP CFs'!$B$3</f>
        <v>99.171035313000004</v>
      </c>
      <c r="W21" s="25">
        <v>0</v>
      </c>
      <c r="X21" s="11">
        <f>V21</f>
        <v>99.171035313000004</v>
      </c>
      <c r="Y21" s="25">
        <v>0</v>
      </c>
      <c r="Z21" s="25">
        <v>0</v>
      </c>
      <c r="AA21" s="26">
        <v>0</v>
      </c>
      <c r="AC21" s="82"/>
    </row>
    <row r="22" spans="1:29" x14ac:dyDescent="0.35">
      <c r="A22" s="28" t="s">
        <v>7</v>
      </c>
      <c r="B22" s="29">
        <f>[26]Table4!$B$14</f>
        <v>3194.6805949199916</v>
      </c>
      <c r="C22" s="29">
        <f>[26]Summary1.As2!$C$22</f>
        <v>2.19200856E-3</v>
      </c>
      <c r="D22" s="29">
        <f>[26]Summary1.As2!$D$22</f>
        <v>2.5194940042E-2</v>
      </c>
      <c r="E22" s="30">
        <v>0</v>
      </c>
      <c r="F22" s="29">
        <f>[26]Summary2!$C$42</f>
        <v>5.4800214E-2</v>
      </c>
      <c r="G22" s="29">
        <f>[26]Summary2!$D$42</f>
        <v>7.5080921325160004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3202.2434872665076</v>
      </c>
      <c r="I22" s="32">
        <f>[26]Summary2!$J$42</f>
        <v>3202.2434872665076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6.137623968E-2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6.6766591111300002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3201.4186302708017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4845.5634554260532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18.447090939037381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3.032801894164237</v>
      </c>
      <c r="P22" s="31">
        <f>N22*'GWP CFs'!$B$3</f>
        <v>516.51854629304671</v>
      </c>
      <c r="Q22" s="31">
        <f>O22*'GWP CFs'!$B$4</f>
        <v>803.69250195352276</v>
      </c>
      <c r="R22" s="33">
        <f>M22+P22+Q22</f>
        <v>6165.7745036726228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4845.5634610470988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18.447090956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3.0328018969299997</v>
      </c>
      <c r="V22" s="31">
        <f>T22*'GWP CFs'!$B$3</f>
        <v>516.51854676799996</v>
      </c>
      <c r="W22" s="31">
        <f>U22*'GWP CFs'!$B$4</f>
        <v>803.69250268644987</v>
      </c>
      <c r="X22" s="33">
        <f>S22+V22+W22</f>
        <v>6165.7745105015492</v>
      </c>
      <c r="Y22" s="29">
        <f>[26]Table4.C!$C$10</f>
        <v>1458.574106147923</v>
      </c>
      <c r="Z22" s="34">
        <v>0</v>
      </c>
      <c r="AA22" s="30">
        <v>0</v>
      </c>
    </row>
    <row r="23" spans="1:29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-1267.4048752995666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2.4994800130000001E-2</v>
      </c>
      <c r="E23" s="9">
        <f>[26]Table4.C!$P$10</f>
        <v>345.6558750817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7.4484504387400001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-1259.9564248608265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6.6236220344500003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-1260.7812532651167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[26]Table4.C!$D$10</f>
        <v>1181.1742424030001</v>
      </c>
      <c r="Z23" s="25">
        <v>0</v>
      </c>
      <c r="AA23" s="26">
        <v>0</v>
      </c>
    </row>
    <row r="24" spans="1:29" x14ac:dyDescent="0.35">
      <c r="A24" s="22" t="s">
        <v>44</v>
      </c>
      <c r="B24" s="25">
        <v>0</v>
      </c>
      <c r="C24" s="25">
        <v>0</v>
      </c>
      <c r="D24" s="48">
        <f>'[26]Table4(III)'!$D$20</f>
        <v>2.4994800130000001E-2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7.4484504387400001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7.4484504387400001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6.6236220344500003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6.6236220344500003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>
        <f>'[26]Table4(III)'!$B$20</f>
        <v>1181.1742409999999</v>
      </c>
      <c r="Z24" s="25">
        <v>0</v>
      </c>
      <c r="AA24" s="26">
        <v>0</v>
      </c>
    </row>
    <row r="25" spans="1:29" x14ac:dyDescent="0.35">
      <c r="A25" s="6" t="s">
        <v>45</v>
      </c>
      <c r="B25" s="49" t="str">
        <f>'[26]Table4(II)'!$G$31</f>
        <v>NE</v>
      </c>
      <c r="C25" s="48" t="str">
        <f>'[26]Table4(II)'!$I$31</f>
        <v>NE</v>
      </c>
      <c r="D25" s="48" t="str">
        <f>'[26]Table4(II)'!$H$31</f>
        <v>NE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'[26]Table4(II)'!$C$31</f>
        <v>NE</v>
      </c>
      <c r="Z25" s="25">
        <v>0</v>
      </c>
      <c r="AA25" s="26">
        <v>0</v>
      </c>
    </row>
    <row r="26" spans="1:29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4119.403343269888</v>
      </c>
      <c r="C26" s="48" t="str">
        <f>'[26]Table4(II)'!$I$27</f>
        <v>NE</v>
      </c>
      <c r="D26" s="25">
        <v>0</v>
      </c>
      <c r="E26" s="9">
        <f>[26]Table4.C!$Q$10</f>
        <v>-1123.4736390736059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0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4119.403343269888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0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4119.403343269888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$5*44/12</f>
        <v>6112.96833072562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$5/1000</f>
        <v>4.4800077994805063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$5*44/28000</f>
        <v>3.007807094034237</v>
      </c>
      <c r="P26" s="7">
        <f>N26*'GWP CFs'!$B$3</f>
        <v>125.44021838545417</v>
      </c>
      <c r="Q26" s="7">
        <f>O26*'GWP CFs'!$B$4</f>
        <v>797.06887991907274</v>
      </c>
      <c r="R26" s="11">
        <f>M26+P26+Q26</f>
        <v>7035.4774290301475</v>
      </c>
      <c r="S26" s="18">
        <f>AA26*EFs!$B$5*44/12</f>
        <v>6112.9683363466656</v>
      </c>
      <c r="T26" s="18">
        <f>AA26*0.95*EFs!$C$5/1000</f>
        <v>4.4800078035999995</v>
      </c>
      <c r="U26" s="11">
        <f>AA26*EFs!$E$5*44/28000</f>
        <v>3.0078070967999997</v>
      </c>
      <c r="V26" s="18">
        <f>T26*'GWP CFs'!$B$3</f>
        <v>125.44021850079999</v>
      </c>
      <c r="W26" s="18">
        <f>U26*'GWP CFs'!$B$4</f>
        <v>797.06888065199996</v>
      </c>
      <c r="X26" s="11">
        <f>S26+V26+W26</f>
        <v>7035.4774354994661</v>
      </c>
      <c r="Y26" s="14">
        <f>[26]Table4.C!$E$10</f>
        <v>277.39986374492298</v>
      </c>
      <c r="Z26" s="25">
        <v>0</v>
      </c>
      <c r="AA26" s="39">
        <v>277.39986399999998</v>
      </c>
    </row>
    <row r="27" spans="1:29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$5/1000</f>
        <v>13.967083139556873</v>
      </c>
      <c r="O27" s="10">
        <v>0</v>
      </c>
      <c r="P27" s="7">
        <f>N27*'GWP CFs'!$B$3</f>
        <v>391.07832790759244</v>
      </c>
      <c r="Q27" s="21">
        <v>0</v>
      </c>
      <c r="R27" s="11">
        <f>P27</f>
        <v>391.07832790759244</v>
      </c>
      <c r="S27" s="25">
        <v>0</v>
      </c>
      <c r="T27" s="18">
        <f>AA26*0.05*EFs!$D$5/1000</f>
        <v>13.967083152400001</v>
      </c>
      <c r="U27" s="26">
        <v>0</v>
      </c>
      <c r="V27" s="18">
        <f>T27*'GWP CFs'!$B$3</f>
        <v>391.07832826720005</v>
      </c>
      <c r="W27" s="25">
        <v>0</v>
      </c>
      <c r="X27" s="11">
        <f>V27</f>
        <v>391.07832826720005</v>
      </c>
      <c r="Y27" s="25">
        <v>0</v>
      </c>
      <c r="Z27" s="25">
        <v>0</v>
      </c>
      <c r="AA27" s="26">
        <v>0</v>
      </c>
    </row>
    <row r="28" spans="1:29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0</v>
      </c>
      <c r="T28" s="31">
        <f>T29+T30</f>
        <v>0</v>
      </c>
      <c r="U28" s="33">
        <f>U29</f>
        <v>0</v>
      </c>
      <c r="V28" s="31">
        <f>V29+V30</f>
        <v>0</v>
      </c>
      <c r="W28" s="31">
        <f>W29</f>
        <v>0</v>
      </c>
      <c r="X28" s="33">
        <f>X29+X30</f>
        <v>0</v>
      </c>
      <c r="Y28" s="34">
        <v>0</v>
      </c>
      <c r="Z28" s="34">
        <v>0</v>
      </c>
      <c r="AA28" s="30">
        <v>0</v>
      </c>
    </row>
    <row r="29" spans="1:29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0</v>
      </c>
      <c r="T29" s="18">
        <f>AA29*0.95*EFs!$C$9/1000</f>
        <v>0</v>
      </c>
      <c r="U29" s="11">
        <f>AA29*EFs!$E$9*44/28000</f>
        <v>0</v>
      </c>
      <c r="V29" s="18">
        <f>T29*'GWP CFs'!$B$3</f>
        <v>0</v>
      </c>
      <c r="W29" s="18">
        <f>U29*'GWP CFs'!$B$4</f>
        <v>0</v>
      </c>
      <c r="X29" s="11">
        <f>S29+V29+W29</f>
        <v>0</v>
      </c>
      <c r="Y29" s="25">
        <v>0</v>
      </c>
      <c r="Z29" s="25">
        <v>0</v>
      </c>
      <c r="AA29" s="39">
        <v>0</v>
      </c>
    </row>
    <row r="30" spans="1:29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0</v>
      </c>
      <c r="U30" s="42">
        <v>0</v>
      </c>
      <c r="V30" s="44">
        <f>T30*'GWP CFs'!$B$3</f>
        <v>0</v>
      </c>
      <c r="W30" s="90">
        <v>0</v>
      </c>
      <c r="X30" s="46">
        <f>V30</f>
        <v>0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zoomScale="60" zoomScaleNormal="60" workbookViewId="0">
      <selection activeCell="A30" sqref="A30:AA30"/>
    </sheetView>
  </sheetViews>
  <sheetFormatPr baseColWidth="10" defaultRowHeight="14.5" x14ac:dyDescent="0.35"/>
  <cols>
    <col min="1" max="1" width="47.453125" customWidth="1"/>
  </cols>
  <sheetData>
    <row r="1" spans="1:27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88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[27]Summary1.As1!$B$7</f>
        <v>300549.27981311519</v>
      </c>
      <c r="C3" s="8">
        <f>[27]Summary1.As1!$C$7</f>
        <v>1950.7966880498595</v>
      </c>
      <c r="D3" s="14">
        <f>[27]Summary1.As1!$D$7</f>
        <v>76.49238746519589</v>
      </c>
      <c r="E3" s="26">
        <v>0</v>
      </c>
      <c r="F3" s="8">
        <f>[27]Summary2!C7</f>
        <v>48769.917201246491</v>
      </c>
      <c r="G3" s="8">
        <f>[27]Summary2!D7</f>
        <v>22794.731464628374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372113.92847899004</v>
      </c>
      <c r="I3" s="9">
        <f>[27]Summary2!$J$7</f>
        <v>376405.33259213407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54622.30726539607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20270.482678276912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375442.06975678814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[27]Summary1.As2!$B$8</f>
        <v>939.82508706907083</v>
      </c>
      <c r="C4" s="29">
        <f>[27]Summary1.As2!$C$8</f>
        <v>583.52972454368694</v>
      </c>
      <c r="D4" s="29">
        <f>[27]Summary1.As2!$D$8</f>
        <v>59.023503940546007</v>
      </c>
      <c r="E4" s="30">
        <v>0</v>
      </c>
      <c r="F4" s="29">
        <f>[27]Summary2!$C$28</f>
        <v>14588.243113592172</v>
      </c>
      <c r="G4" s="29">
        <f>[27]Summary2!$D$28</f>
        <v>17589.004174282712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33117.072374943957</v>
      </c>
      <c r="I4" s="32">
        <f>[27]Summary2!$J$28</f>
        <v>33117.072374943957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16338.832287223235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15641.228544244692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32919.885918536995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41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[27]Summary1.As2!$C$9</f>
        <v>522.34147044040935</v>
      </c>
      <c r="D5" s="21">
        <v>0</v>
      </c>
      <c r="E5" s="26">
        <v>0</v>
      </c>
      <c r="F5" s="8">
        <f>[27]Summary2!$C$29</f>
        <v>13058.536761010233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13058.536761010233</v>
      </c>
      <c r="I5" s="14">
        <f>[27]Summary2!$J$29</f>
        <v>13058.536761010233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14625.561172331461</v>
      </c>
      <c r="K5" s="25">
        <v>0</v>
      </c>
      <c r="L5" s="11">
        <f t="shared" si="0"/>
        <v>14625.561172331461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41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[27]Summary1.As2!$C$10</f>
        <v>60.204999014975051</v>
      </c>
      <c r="D6" s="14">
        <f>[27]Summary1.As2!$D$10</f>
        <v>7.4164070559952702</v>
      </c>
      <c r="E6" s="26">
        <v>0</v>
      </c>
      <c r="F6" s="8">
        <f>[27]Summary2!C30</f>
        <v>1505.1249753743762</v>
      </c>
      <c r="G6" s="14">
        <f>[27]Summary2!D30</f>
        <v>2210.0893026865906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3715.2142780609665</v>
      </c>
      <c r="I6" s="14">
        <f>[27]Summary2!$J$30</f>
        <v>3715.2142780609665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1685.7399724193015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1965.3478698387466</v>
      </c>
      <c r="L6" s="11">
        <f t="shared" si="0"/>
        <v>3651.0878422580481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41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 t="str">
        <f>[27]Table3s2!$C$7</f>
        <v>NO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0</v>
      </c>
      <c r="G7" s="25">
        <v>0</v>
      </c>
      <c r="H7" s="7">
        <f t="shared" si="1"/>
        <v>0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0</v>
      </c>
      <c r="K7" s="25">
        <v>0</v>
      </c>
      <c r="L7" s="11">
        <f t="shared" si="0"/>
        <v>0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41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[27]Summary1.As2!$C$12</f>
        <v>NA</v>
      </c>
      <c r="D8" s="14">
        <f>[27]Summary1.As2!$D$12</f>
        <v>51.566884254840133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[27]Summary2!$D$32</f>
        <v>15366.93150794236</v>
      </c>
      <c r="H8" s="7">
        <f t="shared" si="1"/>
        <v>15366.93150794236</v>
      </c>
      <c r="I8" s="9">
        <f>[27]Summary2!$J$32</f>
        <v>15366.93150794236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13665.224327532635</v>
      </c>
      <c r="L8" s="11">
        <f t="shared" si="0"/>
        <v>13665.224327532635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41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>
        <f>[27]Table3.D!$E$17</f>
        <v>11.58820406857145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3453.2848124342922</v>
      </c>
      <c r="H9" s="7">
        <f t="shared" si="1"/>
        <v>3453.2848124342922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3070.8740781714341</v>
      </c>
      <c r="L9" s="11">
        <f t="shared" si="0"/>
        <v>3070.8740781714341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7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921.78896000000179</v>
      </c>
      <c r="Z9" s="14">
        <f>[27]Table3.D!$C$17</f>
        <v>921788.96000000183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[27]Table3s2!C9</f>
        <v>NO</v>
      </c>
      <c r="D10" s="14" t="str">
        <f>[27]Table3s2!D9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41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>
        <f>[27]Table3s2!C10</f>
        <v>0.98325508830248998</v>
      </c>
      <c r="D11" s="14">
        <f>[27]Table3s2!D10</f>
        <v>4.0212629710610001E-2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24.581377207562248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11.98336365376178</v>
      </c>
      <c r="H11" s="7">
        <f t="shared" si="1"/>
        <v>36.564740861324026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27.531142472469718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10.65634687331165</v>
      </c>
      <c r="L11" s="11">
        <f t="shared" si="0"/>
        <v>38.187489345781366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41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>
        <f>[27]Table3s2!B11</f>
        <v>526.9272186404994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526.9272186404994</v>
      </c>
      <c r="I12" s="26">
        <v>0</v>
      </c>
      <c r="J12" s="25">
        <v>0</v>
      </c>
      <c r="K12" s="25">
        <v>0</v>
      </c>
      <c r="L12" s="11">
        <f t="shared" si="0"/>
        <v>526.9272186404994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41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>
        <f>[27]Table3s2!B12</f>
        <v>412.89786842857143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412.89786842857143</v>
      </c>
      <c r="I13" s="26">
        <v>0</v>
      </c>
      <c r="J13" s="25">
        <v>0</v>
      </c>
      <c r="K13" s="25">
        <v>0</v>
      </c>
      <c r="L13" s="11">
        <f t="shared" si="0"/>
        <v>412.89786842857143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41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 t="str">
        <f>[27]Table3s2!B13</f>
        <v>NO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41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[27]Table3s2!B14</f>
        <v>NO</v>
      </c>
      <c r="C15" s="14" t="str">
        <f>[27]Table3s2!C14</f>
        <v>NO</v>
      </c>
      <c r="D15" s="14" t="str">
        <f>[27]Table3s2!D14</f>
        <v>NO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41">
        <v>0</v>
      </c>
      <c r="Z15" s="25">
        <v>0</v>
      </c>
      <c r="AA15" s="26">
        <v>0</v>
      </c>
    </row>
    <row r="16" spans="1:27" x14ac:dyDescent="0.35">
      <c r="A16" s="28" t="s">
        <v>8</v>
      </c>
      <c r="B16" s="29">
        <f>[27]Table4!$B$11</f>
        <v>-611.95385624408232</v>
      </c>
      <c r="C16" s="29" t="str">
        <f>[27]Summary1.As2!$C$21</f>
        <v>NO,NA</v>
      </c>
      <c r="D16" s="29">
        <f>[27]Summary1.As2!$D$21</f>
        <v>4.078530759033E-2</v>
      </c>
      <c r="E16" s="30">
        <v>0</v>
      </c>
      <c r="F16" s="29" t="str">
        <f>[27]Summary2!$C$41</f>
        <v>NO,NA</v>
      </c>
      <c r="G16" s="29">
        <f>[27]Summary2!$D$41</f>
        <v>12.154021661918341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-599.79983458216395</v>
      </c>
      <c r="I16" s="32">
        <f>[27]Summary2!$J$41</f>
        <v>-599.79983458216407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0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10.808106511437449</v>
      </c>
      <c r="L16" s="11">
        <f t="shared" si="2"/>
        <v>-601.14574973264484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5345.308902089243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9.3260521749999832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3.3114792647331805</v>
      </c>
      <c r="P16" s="31">
        <f>N16*'GWP CFs'!$B$3</f>
        <v>261.12946089999951</v>
      </c>
      <c r="Q16" s="31">
        <f>O16*'GWP CFs'!$B$4</f>
        <v>877.54200515429284</v>
      </c>
      <c r="R16" s="33">
        <f>M16+P16+Q16</f>
        <v>6483.9803681435351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5345.3089020892539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9.3260521750000009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3.3114792647331872</v>
      </c>
      <c r="V16" s="31">
        <f>T16*'GWP CFs'!$B$3</f>
        <v>261.12946090000003</v>
      </c>
      <c r="W16" s="31">
        <f>U16*'GWP CFs'!$B$4</f>
        <v>877.54200515429466</v>
      </c>
      <c r="X16" s="33">
        <f>S16+V16+W16</f>
        <v>6483.9803681435478</v>
      </c>
      <c r="Y16" s="91">
        <f>[27]Table4.B!$C$10</f>
        <v>13918.088000000002</v>
      </c>
      <c r="Z16" s="34">
        <v>0</v>
      </c>
      <c r="AA16" s="30">
        <v>0</v>
      </c>
    </row>
    <row r="17" spans="1:29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525.64783242258625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4.078530759033E-2</v>
      </c>
      <c r="E17" s="9">
        <f>[27]Table4.B!$P$10</f>
        <v>-143.35849975161443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12.154021661918341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537.80185408450461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10.808106511437449</v>
      </c>
      <c r="L17" s="11">
        <f t="shared" si="2"/>
        <v>536.45593893402372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92">
        <f>[27]Table4.B!$D$10</f>
        <v>13757.984100000001</v>
      </c>
      <c r="Z17" s="25">
        <v>0</v>
      </c>
      <c r="AA17" s="26">
        <v>0</v>
      </c>
    </row>
    <row r="18" spans="1:29" x14ac:dyDescent="0.35">
      <c r="A18" s="22" t="s">
        <v>44</v>
      </c>
      <c r="B18" s="12">
        <v>0</v>
      </c>
      <c r="C18" s="21">
        <v>0</v>
      </c>
      <c r="D18" s="48">
        <f>'[27]Table4(III)'!$D$13</f>
        <v>4.078530759033E-2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12.154021661918341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12.154021661918341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10.808106511437449</v>
      </c>
      <c r="L18" s="11">
        <f t="shared" si="2"/>
        <v>10.808106511437449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93">
        <f>'[27]Table4(III)'!$B$13</f>
        <v>290.19099999999997</v>
      </c>
      <c r="Z18" s="25">
        <v>0</v>
      </c>
      <c r="AA18" s="26">
        <v>0</v>
      </c>
    </row>
    <row r="19" spans="1:29" x14ac:dyDescent="0.35">
      <c r="A19" s="6" t="s">
        <v>45</v>
      </c>
      <c r="B19" s="49" t="str">
        <f>'[27]Table4(II)'!$G$22</f>
        <v>NA</v>
      </c>
      <c r="C19" s="48" t="str">
        <f>'[27]Table4(II)'!$I$22</f>
        <v>NA</v>
      </c>
      <c r="D19" s="48" t="str">
        <f>'[27]Table4(II)'!$H$22</f>
        <v>NA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93" t="str">
        <f>'[27]Table4(II)'!$C$22</f>
        <v>NA</v>
      </c>
      <c r="Z19" s="25">
        <v>0</v>
      </c>
      <c r="AA19" s="26">
        <v>0</v>
      </c>
    </row>
    <row r="20" spans="1:29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586.66754666666543</v>
      </c>
      <c r="C20" s="48" t="str">
        <f>'[27]Table4(II)'!$I$18</f>
        <v>NA</v>
      </c>
      <c r="D20" s="25">
        <v>0</v>
      </c>
      <c r="E20" s="9">
        <f>[27]Table4.B!$Q$10</f>
        <v>-160.00023999999968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0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586.66754666666543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0</v>
      </c>
      <c r="K20" s="25">
        <v>0</v>
      </c>
      <c r="L20" s="11">
        <f t="shared" si="2"/>
        <v>586.66754666666543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EFs!$B$3*44/12</f>
        <v>4819.6610696666567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EFs!$E$3*44/28000</f>
        <v>3.2706939571428504</v>
      </c>
      <c r="P20" s="7">
        <f>N20*'GWP CFs'!$B$3</f>
        <v>0</v>
      </c>
      <c r="Q20" s="18">
        <f>O20*'GWP CFs'!$B$4</f>
        <v>866.73389864285537</v>
      </c>
      <c r="R20" s="11">
        <f>M20+P20+Q20</f>
        <v>5686.3949683095125</v>
      </c>
      <c r="S20" s="18">
        <f>AA20*EFs!$B$3*44/12</f>
        <v>4819.6610696666676</v>
      </c>
      <c r="T20" s="18">
        <f>AA20*0.95*EFs!$C$3/1000</f>
        <v>0</v>
      </c>
      <c r="U20" s="11">
        <f>AA20*EFs!$E$3*44/28000</f>
        <v>3.270693957142857</v>
      </c>
      <c r="V20" s="18">
        <f>T20*'GWP CFs'!$B$3</f>
        <v>0</v>
      </c>
      <c r="W20" s="18">
        <f>U20*'GWP CFs'!$B$4</f>
        <v>866.73389864285707</v>
      </c>
      <c r="X20" s="11">
        <f>S20+V20+W20</f>
        <v>5686.3949683095243</v>
      </c>
      <c r="Y20" s="92">
        <f>[27]Table4.B!$E$10</f>
        <v>160.10389999999967</v>
      </c>
      <c r="Z20" s="25">
        <v>0</v>
      </c>
      <c r="AA20" s="39">
        <v>160.10390000000001</v>
      </c>
      <c r="AC20" s="82"/>
    </row>
    <row r="21" spans="1:29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0.05*EFs!$D$3/1000</f>
        <v>9.3260521749999832</v>
      </c>
      <c r="O21" s="26">
        <v>0</v>
      </c>
      <c r="P21" s="7">
        <f>N21*'GWP CFs'!$B$3</f>
        <v>261.12946089999951</v>
      </c>
      <c r="Q21" s="25">
        <v>0</v>
      </c>
      <c r="R21" s="11">
        <f>M21+P21+Q21</f>
        <v>261.12946089999951</v>
      </c>
      <c r="S21" s="25">
        <v>0</v>
      </c>
      <c r="T21" s="18">
        <f>AA20*0.05*EFs!$D$3/1000</f>
        <v>9.3260521750000009</v>
      </c>
      <c r="U21" s="42">
        <v>0</v>
      </c>
      <c r="V21" s="18">
        <f>T21*'GWP CFs'!$B$3</f>
        <v>261.12946090000003</v>
      </c>
      <c r="W21" s="25">
        <v>0</v>
      </c>
      <c r="X21" s="11">
        <f>V21</f>
        <v>261.12946090000003</v>
      </c>
      <c r="Y21" s="25">
        <v>0</v>
      </c>
      <c r="Z21" s="25">
        <v>0</v>
      </c>
      <c r="AA21" s="26">
        <v>0</v>
      </c>
    </row>
    <row r="22" spans="1:29" x14ac:dyDescent="0.35">
      <c r="A22" s="28" t="s">
        <v>7</v>
      </c>
      <c r="B22" s="29">
        <f>[27]Table4!$B$14</f>
        <v>-70.710547575020712</v>
      </c>
      <c r="C22" s="29">
        <f>[27]Summary1.As2!$C$22</f>
        <v>0.17955193799999999</v>
      </c>
      <c r="D22" s="29">
        <f>[27]Summary1.As2!$D$22</f>
        <v>9.9326603999999995E-3</v>
      </c>
      <c r="E22" s="30">
        <v>0</v>
      </c>
      <c r="F22" s="29">
        <f>[27]Summary2!$C$42</f>
        <v>4.48879845</v>
      </c>
      <c r="G22" s="29">
        <f>[27]Summary2!$D$42</f>
        <v>2.9599327992000002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-63.26181632582071</v>
      </c>
      <c r="I22" s="32">
        <f>[27]Summary2!$J$42</f>
        <v>-63.26181632582071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5.0274542640000002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2.6321550060000001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-63.050938305020715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16132.306596291688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50.652056490000149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8.2588422934285948</v>
      </c>
      <c r="P22" s="31">
        <f>N22*'GWP CFs'!$B$3</f>
        <v>1418.2575817200041</v>
      </c>
      <c r="Q22" s="31">
        <f>O22*'GWP CFs'!$B$4</f>
        <v>2188.5932077585776</v>
      </c>
      <c r="R22" s="33">
        <f>M22+P22+Q22</f>
        <v>19739.157385770272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16132.306596291644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50.652056490000007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8.2588422934285717</v>
      </c>
      <c r="V22" s="31">
        <f>T22*'GWP CFs'!$B$3</f>
        <v>1418.2575817200002</v>
      </c>
      <c r="W22" s="31">
        <f>U22*'GWP CFs'!$B$4</f>
        <v>2188.5932077585717</v>
      </c>
      <c r="X22" s="33">
        <f>S22+V22+W22</f>
        <v>19739.157385770217</v>
      </c>
      <c r="Y22" s="29">
        <f>[27]Table4.C!$C$10</f>
        <v>4176.1869999999999</v>
      </c>
      <c r="Z22" s="34">
        <v>0</v>
      </c>
      <c r="AA22" s="30">
        <v>0</v>
      </c>
    </row>
    <row r="23" spans="1:29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-652.6931759083559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0</v>
      </c>
      <c r="E23" s="9">
        <f>[27]Table4.C!$P$10</f>
        <v>178.00722979318797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0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-652.6931759083559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0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-652.6931759083559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[27]Table4.C!$D$10</f>
        <v>3414.5019399999978</v>
      </c>
      <c r="Z23" s="25">
        <v>0</v>
      </c>
      <c r="AA23" s="26">
        <v>0</v>
      </c>
    </row>
    <row r="24" spans="1:29" x14ac:dyDescent="0.35">
      <c r="A24" s="22" t="s">
        <v>44</v>
      </c>
      <c r="B24" s="25">
        <v>0</v>
      </c>
      <c r="C24" s="25">
        <v>0</v>
      </c>
      <c r="D24" s="48" t="str">
        <f>'[27]Table4(III)'!$D$15</f>
        <v>NO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0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0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0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0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 t="str">
        <f>'[27]Table4(III)'!$B$15</f>
        <v>NO</v>
      </c>
      <c r="Z24" s="25">
        <v>0</v>
      </c>
      <c r="AA24" s="26">
        <v>0</v>
      </c>
    </row>
    <row r="25" spans="1:29" x14ac:dyDescent="0.35">
      <c r="A25" s="6" t="s">
        <v>45</v>
      </c>
      <c r="B25" s="49" t="str">
        <f>'[27]Table4(II)'!$G$30</f>
        <v>NA</v>
      </c>
      <c r="C25" s="48" t="str">
        <f>'[27]Table4(II)'!$I$30</f>
        <v>NA</v>
      </c>
      <c r="D25" s="48" t="str">
        <f>'[27]Table4(II)'!$H$30</f>
        <v>NA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'[27]Table4(II)'!$C$30</f>
        <v>NA</v>
      </c>
      <c r="Z25" s="25">
        <v>0</v>
      </c>
      <c r="AA25" s="26">
        <v>0</v>
      </c>
    </row>
    <row r="26" spans="1:29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698.21130500000197</v>
      </c>
      <c r="C26" s="48" t="str">
        <f>'[27]Table4(II)'!$I$26</f>
        <v>NA</v>
      </c>
      <c r="D26" s="25">
        <v>0</v>
      </c>
      <c r="E26" s="9">
        <f>[27]Table4.C!$Q$10</f>
        <v>-190.42126500000055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0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698.21130500000197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0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698.21130500000197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$5*44/12</f>
        <v>16784.999772200044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$5/1000</f>
        <v>12.301213719000035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$5*44/28000</f>
        <v>8.2588422934285948</v>
      </c>
      <c r="P26" s="7">
        <f>N26*'GWP CFs'!$B$3</f>
        <v>344.433984132001</v>
      </c>
      <c r="Q26" s="7">
        <f>O26*'GWP CFs'!$B$4</f>
        <v>2188.5932077585776</v>
      </c>
      <c r="R26" s="11">
        <f>M26+P26+Q26</f>
        <v>19318.026964090623</v>
      </c>
      <c r="S26" s="18">
        <f>AA26*EFs!$B$5*44/12</f>
        <v>16784.999772200001</v>
      </c>
      <c r="T26" s="18">
        <f>AA26*0.95*EFs!$C$5/1000</f>
        <v>12.301213719000001</v>
      </c>
      <c r="U26" s="11">
        <f>AA26*EFs!$E$5*44/28000</f>
        <v>8.2588422934285717</v>
      </c>
      <c r="V26" s="18">
        <f>T26*'GWP CFs'!$B$3</f>
        <v>344.43398413200003</v>
      </c>
      <c r="W26" s="18">
        <f>U26*'GWP CFs'!$B$4</f>
        <v>2188.5932077585717</v>
      </c>
      <c r="X26" s="11">
        <f>S26+V26+W26</f>
        <v>19318.026964090572</v>
      </c>
      <c r="Y26" s="85">
        <f>[27]Table4.C!$E$10</f>
        <v>761.68506000000218</v>
      </c>
      <c r="Z26" s="25">
        <v>0</v>
      </c>
      <c r="AA26" s="39">
        <v>761.68506000000002</v>
      </c>
    </row>
    <row r="27" spans="1:29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$5/1000</f>
        <v>38.35084277100011</v>
      </c>
      <c r="O27" s="10">
        <v>0</v>
      </c>
      <c r="P27" s="7">
        <f>N27*'GWP CFs'!$B$3</f>
        <v>1073.8235975880032</v>
      </c>
      <c r="Q27" s="21">
        <v>0</v>
      </c>
      <c r="R27" s="11">
        <f>P27</f>
        <v>1073.8235975880032</v>
      </c>
      <c r="S27" s="25">
        <v>0</v>
      </c>
      <c r="T27" s="18">
        <f>AA26*0.05*EFs!$D$5/1000</f>
        <v>38.350842771000003</v>
      </c>
      <c r="U27" s="26">
        <v>0</v>
      </c>
      <c r="V27" s="18">
        <f>T27*'GWP CFs'!$B$3</f>
        <v>1073.8235975880002</v>
      </c>
      <c r="W27" s="25">
        <v>0</v>
      </c>
      <c r="X27" s="11">
        <f>V27</f>
        <v>1073.8235975880002</v>
      </c>
      <c r="Y27" s="25">
        <v>0</v>
      </c>
      <c r="Z27" s="25">
        <v>0</v>
      </c>
      <c r="AA27" s="26">
        <v>0</v>
      </c>
    </row>
    <row r="28" spans="1:29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0</v>
      </c>
      <c r="T28" s="31">
        <f>T29+T30</f>
        <v>0</v>
      </c>
      <c r="U28" s="33">
        <f>U29</f>
        <v>0</v>
      </c>
      <c r="V28" s="31">
        <f>V29+V30</f>
        <v>0</v>
      </c>
      <c r="W28" s="31">
        <f>W29</f>
        <v>0</v>
      </c>
      <c r="X28" s="33">
        <f>X29+X30</f>
        <v>0</v>
      </c>
      <c r="Y28" s="34">
        <v>0</v>
      </c>
      <c r="Z28" s="34">
        <v>0</v>
      </c>
      <c r="AA28" s="30">
        <v>0</v>
      </c>
    </row>
    <row r="29" spans="1:29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0</v>
      </c>
      <c r="T29" s="18">
        <f>AA29*0.95*EFs!$C$9/1000</f>
        <v>0</v>
      </c>
      <c r="U29" s="11">
        <f>AA29*EFs!$E$9*44/28000</f>
        <v>0</v>
      </c>
      <c r="V29" s="18">
        <f>T29*'GWP CFs'!$B$3</f>
        <v>0</v>
      </c>
      <c r="W29" s="18">
        <f>U29*'GWP CFs'!$B$4</f>
        <v>0</v>
      </c>
      <c r="X29" s="11">
        <f>S29+V29+W29</f>
        <v>0</v>
      </c>
      <c r="Y29" s="25">
        <v>0</v>
      </c>
      <c r="Z29" s="25">
        <v>0</v>
      </c>
      <c r="AA29" s="39">
        <v>0</v>
      </c>
    </row>
    <row r="30" spans="1:29" x14ac:dyDescent="0.35">
      <c r="A30" s="98" t="s">
        <v>46</v>
      </c>
      <c r="B30" s="25">
        <v>0</v>
      </c>
      <c r="C30" s="21">
        <v>0</v>
      </c>
      <c r="D30" s="25">
        <v>0</v>
      </c>
      <c r="E30" s="26">
        <v>0</v>
      </c>
      <c r="F30" s="12">
        <v>0</v>
      </c>
      <c r="G30" s="12">
        <v>0</v>
      </c>
      <c r="H30" s="12">
        <v>0</v>
      </c>
      <c r="I30" s="10">
        <v>0</v>
      </c>
      <c r="J30" s="12">
        <v>0</v>
      </c>
      <c r="K30" s="21">
        <v>0</v>
      </c>
      <c r="L30" s="10">
        <v>0</v>
      </c>
      <c r="M30" s="12">
        <v>0</v>
      </c>
      <c r="N30" s="21">
        <v>0</v>
      </c>
      <c r="O30" s="10">
        <v>0</v>
      </c>
      <c r="P30" s="12">
        <v>0</v>
      </c>
      <c r="Q30" s="21">
        <v>0</v>
      </c>
      <c r="R30" s="10">
        <v>0</v>
      </c>
      <c r="S30" s="25">
        <v>0</v>
      </c>
      <c r="T30" s="47">
        <f>AA29*0.05*EFs!$D$9/1000</f>
        <v>0</v>
      </c>
      <c r="U30" s="26">
        <v>0</v>
      </c>
      <c r="V30" s="47">
        <f>T30*'GWP CFs'!$B$3</f>
        <v>0</v>
      </c>
      <c r="W30" s="25">
        <v>0</v>
      </c>
      <c r="X30" s="95">
        <f>V30</f>
        <v>0</v>
      </c>
      <c r="Y30" s="25">
        <v>0</v>
      </c>
      <c r="Z30" s="25">
        <v>0</v>
      </c>
      <c r="AA30" s="26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zoomScale="60" zoomScaleNormal="60" workbookViewId="0">
      <selection activeCell="A30" sqref="A30:AA30"/>
    </sheetView>
  </sheetViews>
  <sheetFormatPr baseColWidth="10" defaultRowHeight="14.5" x14ac:dyDescent="0.35"/>
  <cols>
    <col min="1" max="1" width="47.81640625" customWidth="1"/>
  </cols>
  <sheetData>
    <row r="1" spans="1:27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88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[28]Summary1.As1!$B$7</f>
        <v>44768.556223735046</v>
      </c>
      <c r="C3" s="8">
        <f>[28]Summary1.As1!$C$7</f>
        <v>368.84439252392627</v>
      </c>
      <c r="D3" s="14">
        <f>[28]Summary1.As1!$D$7</f>
        <v>11.9080018861256</v>
      </c>
      <c r="E3" s="26">
        <v>0</v>
      </c>
      <c r="F3" s="8">
        <f>[28]Summary2!C7</f>
        <v>9221.1098130981554</v>
      </c>
      <c r="G3" s="8">
        <f>[28]Summary2!D7</f>
        <v>3548.5845620654286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57538.25059889863</v>
      </c>
      <c r="I3" s="9">
        <f>[28]Summary2!$J$7</f>
        <v>60992.883943518791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10327.642990669936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3155.6204998232838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58251.819714228266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[28]Summary1.As2!$B$8</f>
        <v>47.78629745229469</v>
      </c>
      <c r="C4" s="29">
        <f>[28]Summary1.As2!$C$8</f>
        <v>175.61700439314447</v>
      </c>
      <c r="D4" s="29">
        <f>[28]Summary1.As2!$D$8</f>
        <v>7.9213098417556198</v>
      </c>
      <c r="E4" s="30">
        <v>0</v>
      </c>
      <c r="F4" s="29">
        <f>[28]Summary2!$C$28</f>
        <v>4390.4251098286122</v>
      </c>
      <c r="G4" s="29">
        <f>[28]Summary2!$D$28</f>
        <v>2360.5503328431746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6798.7617401240823</v>
      </c>
      <c r="I4" s="32">
        <f>[28]Summary2!$J$28</f>
        <v>6798.7617401240814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4917.276123008045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2099.1471080652391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7064.2095285255791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41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[28]Summary1.As2!$C$9</f>
        <v>139.82360140991062</v>
      </c>
      <c r="D5" s="21">
        <v>0</v>
      </c>
      <c r="E5" s="26">
        <v>0</v>
      </c>
      <c r="F5" s="8">
        <f>[28]Summary2!$C$29</f>
        <v>3495.5900352477656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3495.5900352477656</v>
      </c>
      <c r="I5" s="14">
        <f>[28]Summary2!$J$29</f>
        <v>3495.5900352477656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3915.0608394774972</v>
      </c>
      <c r="K5" s="25">
        <v>0</v>
      </c>
      <c r="L5" s="11">
        <f t="shared" si="0"/>
        <v>3915.0608394774972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41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[28]Summary1.As2!$C$10</f>
        <v>29.01022450110289</v>
      </c>
      <c r="D6" s="14">
        <f>[28]Summary1.As2!$D$10</f>
        <v>0.63578938427164</v>
      </c>
      <c r="E6" s="26">
        <v>0</v>
      </c>
      <c r="F6" s="8">
        <f>[28]Summary2!C30</f>
        <v>725.25561252757223</v>
      </c>
      <c r="G6" s="14">
        <f>[28]Summary2!D30</f>
        <v>189.46523651294871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914.72084904052099</v>
      </c>
      <c r="I6" s="14">
        <f>[28]Summary2!$J$30</f>
        <v>914.72084904052099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812.28628603088089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168.4841868319846</v>
      </c>
      <c r="L6" s="11">
        <f t="shared" si="0"/>
        <v>980.77047286286552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41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>
        <f>[28]Table3s2!$C$7</f>
        <v>5.4705166561617196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136.76291640404298</v>
      </c>
      <c r="G7" s="25">
        <v>0</v>
      </c>
      <c r="H7" s="7">
        <f t="shared" si="1"/>
        <v>136.76291640404298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153.17446637252814</v>
      </c>
      <c r="K7" s="25">
        <v>0</v>
      </c>
      <c r="L7" s="11">
        <f t="shared" si="0"/>
        <v>153.17446637252814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41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[28]Summary1.As2!$C$12</f>
        <v>NO</v>
      </c>
      <c r="D8" s="14">
        <f>[28]Summary1.As2!$D$12</f>
        <v>7.22118397757857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[28]Summary2!$D$32</f>
        <v>2151.912825318414</v>
      </c>
      <c r="H8" s="7">
        <f t="shared" si="1"/>
        <v>2151.912825318414</v>
      </c>
      <c r="I8" s="9">
        <f>[28]Summary2!$J$32</f>
        <v>2151.912825318414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1913.6137540583211</v>
      </c>
      <c r="L8" s="11">
        <f t="shared" si="0"/>
        <v>1913.6137540583211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41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 t="str">
        <f>[28]Table3.D!$E$17</f>
        <v>NO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0</v>
      </c>
      <c r="H9" s="7">
        <f t="shared" si="1"/>
        <v>0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0</v>
      </c>
      <c r="L9" s="11">
        <f t="shared" si="0"/>
        <v>0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7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0</v>
      </c>
      <c r="Z9" s="14" t="str">
        <f>[28]Table3.D!$C$17</f>
        <v>NO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[28]Table3s2!C9</f>
        <v>NO</v>
      </c>
      <c r="D10" s="14" t="str">
        <f>[28]Table3s2!D9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41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>
        <f>[28]Table3s2!C10</f>
        <v>1.31266182596924</v>
      </c>
      <c r="D11" s="14">
        <f>[28]Table3s2!D10</f>
        <v>6.4336479905409999E-2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32.816545649231003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19.172271011812178</v>
      </c>
      <c r="H11" s="7">
        <f t="shared" si="1"/>
        <v>51.988816661043181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36.754531127138719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17.04916717493365</v>
      </c>
      <c r="L11" s="11">
        <f t="shared" si="0"/>
        <v>53.80369830207237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41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>
        <f>[28]Table3s2!B11</f>
        <v>7.2801857638888903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7.2801857638888903</v>
      </c>
      <c r="I12" s="26">
        <v>0</v>
      </c>
      <c r="J12" s="25">
        <v>0</v>
      </c>
      <c r="K12" s="25">
        <v>0</v>
      </c>
      <c r="L12" s="11">
        <f t="shared" si="0"/>
        <v>7.2801857638888903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41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>
        <f>[28]Table3s2!B12</f>
        <v>40.506111688405802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40.506111688405802</v>
      </c>
      <c r="I13" s="26">
        <v>0</v>
      </c>
      <c r="J13" s="25">
        <v>0</v>
      </c>
      <c r="K13" s="25">
        <v>0</v>
      </c>
      <c r="L13" s="11">
        <f t="shared" si="0"/>
        <v>40.506111688405802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41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 t="str">
        <f>[28]Table3s2!B13</f>
        <v>NO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41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[28]Table3s2!B14</f>
        <v>NO</v>
      </c>
      <c r="C15" s="14" t="str">
        <f>[28]Table3s2!C14</f>
        <v>NO</v>
      </c>
      <c r="D15" s="14" t="str">
        <f>[28]Table3s2!D14</f>
        <v>NO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41">
        <v>0</v>
      </c>
      <c r="Z15" s="25">
        <v>0</v>
      </c>
      <c r="AA15" s="26">
        <v>0</v>
      </c>
    </row>
    <row r="16" spans="1:27" x14ac:dyDescent="0.35">
      <c r="A16" s="28" t="s">
        <v>8</v>
      </c>
      <c r="B16" s="29">
        <f>[28]Table4!$B$11</f>
        <v>540.26847298024813</v>
      </c>
      <c r="C16" s="29">
        <f>[28]Summary1.As2!$C$21</f>
        <v>0.13221087587131</v>
      </c>
      <c r="D16" s="29">
        <f>[28]Summary1.As2!$D$21</f>
        <v>0.15758018335276</v>
      </c>
      <c r="E16" s="30">
        <v>0</v>
      </c>
      <c r="F16" s="29">
        <f>[28]Summary2!$C$41</f>
        <v>3.3052718967827501</v>
      </c>
      <c r="G16" s="29">
        <f>[28]Summary2!$D$41</f>
        <v>46.958894639122477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590.53263951615338</v>
      </c>
      <c r="I16" s="32">
        <f>[28]Summary2!$J$41</f>
        <v>590.53263951615338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3.7019045243966802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41.758748588481403</v>
      </c>
      <c r="L16" s="11">
        <f t="shared" si="2"/>
        <v>585.72912609312618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487.31219164185063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0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0.15576228380953</v>
      </c>
      <c r="P16" s="31">
        <f>N16*'GWP CFs'!$B$3</f>
        <v>0</v>
      </c>
      <c r="Q16" s="31">
        <f>O16*'GWP CFs'!$B$4</f>
        <v>41.277005209525448</v>
      </c>
      <c r="R16" s="33">
        <f>M16+P16+Q16</f>
        <v>528.58919685137607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487.31219164185063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0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0.15576228380953</v>
      </c>
      <c r="V16" s="31">
        <f>T16*'GWP CFs'!$B$3</f>
        <v>0</v>
      </c>
      <c r="W16" s="31">
        <f>U16*'GWP CFs'!$B$4</f>
        <v>41.277005209525448</v>
      </c>
      <c r="X16" s="33">
        <f>S16+V16+W16</f>
        <v>528.58919685137607</v>
      </c>
      <c r="Y16" s="91">
        <f>[28]Table4.B!$C$10</f>
        <v>2391.826</v>
      </c>
      <c r="Z16" s="34">
        <v>0</v>
      </c>
      <c r="AA16" s="30">
        <v>0</v>
      </c>
    </row>
    <row r="17" spans="1:27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487.31219164185063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0.15576228380953</v>
      </c>
      <c r="E17" s="9">
        <f>[28]Table4.B!$P$10</f>
        <v>-132.90332499323199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46.41716057523994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533.72935221709054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41.277005209525448</v>
      </c>
      <c r="L17" s="11">
        <f t="shared" si="2"/>
        <v>528.58919685137607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[28]Table4.B!$D$10</f>
        <v>2391.826</v>
      </c>
      <c r="Z17" s="25">
        <v>0</v>
      </c>
      <c r="AA17" s="26">
        <v>0</v>
      </c>
    </row>
    <row r="18" spans="1:27" x14ac:dyDescent="0.35">
      <c r="A18" s="22" t="s">
        <v>44</v>
      </c>
      <c r="B18" s="12">
        <v>0</v>
      </c>
      <c r="C18" s="21">
        <v>0</v>
      </c>
      <c r="D18" s="48">
        <f>'[28]Table4(III)'!$D$18</f>
        <v>0.15576228380953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46.41716057523994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46.41716057523994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41.277005209525448</v>
      </c>
      <c r="L18" s="11">
        <f t="shared" si="2"/>
        <v>41.277005209525448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'[28]Table4(III)'!$B$18</f>
        <v>63.265999999999998</v>
      </c>
      <c r="Z18" s="25">
        <v>0</v>
      </c>
      <c r="AA18" s="26">
        <v>0</v>
      </c>
    </row>
    <row r="19" spans="1:27" x14ac:dyDescent="0.35">
      <c r="A19" s="6" t="s">
        <v>45</v>
      </c>
      <c r="B19" s="49" t="str">
        <f>'[28]Table4(II)'!$G$22</f>
        <v>NO</v>
      </c>
      <c r="C19" s="48" t="str">
        <f>'[28]Table4(II)'!$I$22</f>
        <v>NO</v>
      </c>
      <c r="D19" s="48" t="str">
        <f>'[28]Table4(II)'!$H$22</f>
        <v>NO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'[28]Table4(II)'!$C$22</f>
        <v>NO</v>
      </c>
      <c r="Z19" s="25">
        <v>0</v>
      </c>
      <c r="AA19" s="26">
        <v>0</v>
      </c>
    </row>
    <row r="20" spans="1:27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0</v>
      </c>
      <c r="C20" s="48" t="str">
        <f>'[28]Table4(II)'!$I$18</f>
        <v>NO</v>
      </c>
      <c r="D20" s="25">
        <v>0</v>
      </c>
      <c r="E20" s="9" t="str">
        <f>[28]Table4.B!$Q$10</f>
        <v>NO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0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0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0</v>
      </c>
      <c r="K20" s="25">
        <v>0</v>
      </c>
      <c r="L20" s="11">
        <f t="shared" si="2"/>
        <v>0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EFs!$B$3*44/12</f>
        <v>0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EFs!$E$3*44/28000</f>
        <v>0</v>
      </c>
      <c r="P20" s="7">
        <f>N20*'GWP CFs'!$B$3</f>
        <v>0</v>
      </c>
      <c r="Q20" s="18">
        <f>O20*'GWP CFs'!$B$4</f>
        <v>0</v>
      </c>
      <c r="R20" s="11">
        <f>M20+P20+Q20</f>
        <v>0</v>
      </c>
      <c r="S20" s="18">
        <f>AA20*EFs!$B$3*44/12</f>
        <v>0</v>
      </c>
      <c r="T20" s="18">
        <f>AA20*0.95*EFs!$C$3/1000</f>
        <v>0</v>
      </c>
      <c r="U20" s="11">
        <f>AA20*EFs!$E$3*44/28000</f>
        <v>0</v>
      </c>
      <c r="V20" s="18">
        <f>T20*'GWP CFs'!$B$3</f>
        <v>0</v>
      </c>
      <c r="W20" s="18">
        <f>U20*'GWP CFs'!$B$4</f>
        <v>0</v>
      </c>
      <c r="X20" s="11">
        <f>S20+V20+W20</f>
        <v>0</v>
      </c>
      <c r="Y20" s="14" t="str">
        <f>[28]Table4.B!$E$10</f>
        <v>NO</v>
      </c>
      <c r="Z20" s="25">
        <v>0</v>
      </c>
      <c r="AA20" s="39">
        <v>0</v>
      </c>
    </row>
    <row r="21" spans="1:27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0.05*EFs!$D$3/1000</f>
        <v>0</v>
      </c>
      <c r="O21" s="26">
        <v>0</v>
      </c>
      <c r="P21" s="7">
        <f>N21*'GWP CFs'!$B$3</f>
        <v>0</v>
      </c>
      <c r="Q21" s="25">
        <v>0</v>
      </c>
      <c r="R21" s="11">
        <f>M21+P21+Q21</f>
        <v>0</v>
      </c>
      <c r="S21" s="25">
        <v>0</v>
      </c>
      <c r="T21" s="18">
        <f>AA20*0.05*EFs!$D$3/1000</f>
        <v>0</v>
      </c>
      <c r="U21" s="42">
        <v>0</v>
      </c>
      <c r="V21" s="18">
        <f>T21*'GWP CFs'!$B$3</f>
        <v>0</v>
      </c>
      <c r="W21" s="25">
        <v>0</v>
      </c>
      <c r="X21" s="11">
        <f>V21</f>
        <v>0</v>
      </c>
      <c r="Y21" s="25">
        <v>0</v>
      </c>
      <c r="Z21" s="25">
        <v>0</v>
      </c>
      <c r="AA21" s="26">
        <v>0</v>
      </c>
    </row>
    <row r="22" spans="1:27" x14ac:dyDescent="0.35">
      <c r="A22" s="28" t="s">
        <v>7</v>
      </c>
      <c r="B22" s="29">
        <f>[28]Table4!$B$14</f>
        <v>64.220782758410252</v>
      </c>
      <c r="C22" s="29">
        <f>[28]Summary1.As2!$C$22</f>
        <v>5.3742973043739997E-2</v>
      </c>
      <c r="D22" s="29">
        <f>[28]Summary1.As2!$D$22</f>
        <v>8.7459320165060001E-2</v>
      </c>
      <c r="E22" s="30">
        <v>0</v>
      </c>
      <c r="F22" s="29">
        <f>[28]Summary2!$C$42</f>
        <v>1.3435743260935</v>
      </c>
      <c r="G22" s="29">
        <f>[28]Summary2!$D$42</f>
        <v>26.06287740918788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91.627234493691631</v>
      </c>
      <c r="I22" s="32">
        <f>[28]Summary2!$J$42</f>
        <v>91.627234493691631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1.50480324522472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23.176719843740901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88.902305847375871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-71.548175344000668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0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8.6720354285709997E-2</v>
      </c>
      <c r="P22" s="31">
        <f>N22*'GWP CFs'!$B$3</f>
        <v>0</v>
      </c>
      <c r="Q22" s="31">
        <f>O22*'GWP CFs'!$B$4</f>
        <v>22.980893885713151</v>
      </c>
      <c r="R22" s="33">
        <f>M22+P22+Q22</f>
        <v>-48.567281458287518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-71.548175344000668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0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8.6720354285709997E-2</v>
      </c>
      <c r="V22" s="31">
        <f>T22*'GWP CFs'!$B$3</f>
        <v>0</v>
      </c>
      <c r="W22" s="31">
        <f>U22*'GWP CFs'!$B$4</f>
        <v>22.980893885713151</v>
      </c>
      <c r="X22" s="33">
        <f>S22+V22+W22</f>
        <v>-48.567281458287518</v>
      </c>
      <c r="Y22" s="29">
        <f>[28]Table4.C!$C$10</f>
        <v>642.90899999999999</v>
      </c>
      <c r="Z22" s="34">
        <v>0</v>
      </c>
      <c r="AA22" s="30">
        <v>0</v>
      </c>
    </row>
    <row r="23" spans="1:27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-71.548175344000668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8.6720354285709997E-2</v>
      </c>
      <c r="E23" s="9">
        <f>[28]Table4.C!$P$10</f>
        <v>19.513138730182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25.842665577141577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-45.705509766859095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22.980893885713151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-48.567281458287518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[28]Table4.C!$D$10</f>
        <v>642.90899999999999</v>
      </c>
      <c r="Z23" s="25">
        <v>0</v>
      </c>
      <c r="AA23" s="26">
        <v>0</v>
      </c>
    </row>
    <row r="24" spans="1:27" x14ac:dyDescent="0.35">
      <c r="A24" s="22" t="s">
        <v>44</v>
      </c>
      <c r="B24" s="25">
        <v>0</v>
      </c>
      <c r="C24" s="25">
        <v>0</v>
      </c>
      <c r="D24" s="48">
        <f>'[28]Table4(III)'!$D$25</f>
        <v>8.6720354285709997E-2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25.842665577141577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25.842665577141577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22.980893885713151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22.980893885713151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>
        <f>'[28]Table4(III)'!$B$25</f>
        <v>36.396000000000001</v>
      </c>
      <c r="Z24" s="25">
        <v>0</v>
      </c>
      <c r="AA24" s="26">
        <v>0</v>
      </c>
    </row>
    <row r="25" spans="1:27" x14ac:dyDescent="0.35">
      <c r="A25" s="6" t="s">
        <v>45</v>
      </c>
      <c r="B25" s="49" t="str">
        <f>'[28]Table4(II)'!$G$30</f>
        <v>NO</v>
      </c>
      <c r="C25" s="48" t="str">
        <f>'[28]Table4(II)'!$I$30</f>
        <v>NO</v>
      </c>
      <c r="D25" s="48" t="str">
        <f>'[28]Table4(II)'!$H$30</f>
        <v>NO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'[28]Table4(II)'!$C$30</f>
        <v>NO</v>
      </c>
      <c r="Z25" s="25">
        <v>0</v>
      </c>
      <c r="AA25" s="26">
        <v>0</v>
      </c>
    </row>
    <row r="26" spans="1:27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0</v>
      </c>
      <c r="C26" s="48" t="str">
        <f>'[28]Table4(II)'!$I$26</f>
        <v>NO</v>
      </c>
      <c r="D26" s="25">
        <v>0</v>
      </c>
      <c r="E26" s="9" t="str">
        <f>[28]Table4.C!$Q$10</f>
        <v>NO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0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0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0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0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$5*44/12</f>
        <v>0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$5/1000</f>
        <v>0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$5*44/28000</f>
        <v>0</v>
      </c>
      <c r="P26" s="7">
        <f>N26*'GWP CFs'!$B$3</f>
        <v>0</v>
      </c>
      <c r="Q26" s="7">
        <f>O26*'GWP CFs'!$B$4</f>
        <v>0</v>
      </c>
      <c r="R26" s="11">
        <f>M26+P26+Q26</f>
        <v>0</v>
      </c>
      <c r="S26" s="18">
        <f>AA26*EFs!$B$5*44/12</f>
        <v>0</v>
      </c>
      <c r="T26" s="18">
        <f>AA26*0.95*EFs!$C$5/1000</f>
        <v>0</v>
      </c>
      <c r="U26" s="11">
        <f>AA26*EFs!$E$5*44/28000</f>
        <v>0</v>
      </c>
      <c r="V26" s="18">
        <f>T26*'GWP CFs'!$B$3</f>
        <v>0</v>
      </c>
      <c r="W26" s="18">
        <f>U26*'GWP CFs'!$B$4</f>
        <v>0</v>
      </c>
      <c r="X26" s="11">
        <f>S26+V26+W26</f>
        <v>0</v>
      </c>
      <c r="Y26" s="14" t="str">
        <f>[28]Table4.C!$E$10</f>
        <v>NO</v>
      </c>
      <c r="Z26" s="25">
        <v>0</v>
      </c>
      <c r="AA26" s="39">
        <v>0</v>
      </c>
    </row>
    <row r="27" spans="1:27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$5/1000</f>
        <v>0</v>
      </c>
      <c r="O27" s="10">
        <v>0</v>
      </c>
      <c r="P27" s="7">
        <f>N27*'GWP CFs'!$B$3</f>
        <v>0</v>
      </c>
      <c r="Q27" s="21">
        <v>0</v>
      </c>
      <c r="R27" s="11">
        <f>P27</f>
        <v>0</v>
      </c>
      <c r="S27" s="25">
        <v>0</v>
      </c>
      <c r="T27" s="18">
        <f>AA26*0.05*EFs!$D$5/1000</f>
        <v>0</v>
      </c>
      <c r="U27" s="26">
        <v>0</v>
      </c>
      <c r="V27" s="18">
        <f>T27*'GWP CFs'!$B$3</f>
        <v>0</v>
      </c>
      <c r="W27" s="25">
        <v>0</v>
      </c>
      <c r="X27" s="11">
        <f>V27</f>
        <v>0</v>
      </c>
      <c r="Y27" s="25">
        <v>0</v>
      </c>
      <c r="Z27" s="25">
        <v>0</v>
      </c>
      <c r="AA27" s="26">
        <v>0</v>
      </c>
    </row>
    <row r="28" spans="1:27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680.42700000000002</v>
      </c>
      <c r="T28" s="31">
        <f>T29+T30</f>
        <v>1.6266825</v>
      </c>
      <c r="U28" s="33">
        <f>U29</f>
        <v>0.40809214285714285</v>
      </c>
      <c r="V28" s="31">
        <f>V29+V30</f>
        <v>45.547110000000004</v>
      </c>
      <c r="W28" s="31">
        <f>W29</f>
        <v>108.14441785714286</v>
      </c>
      <c r="X28" s="33">
        <f>X29+X30</f>
        <v>834.11852785714291</v>
      </c>
      <c r="Y28" s="34">
        <v>0</v>
      </c>
      <c r="Z28" s="34">
        <v>0</v>
      </c>
      <c r="AA28" s="30">
        <v>0</v>
      </c>
    </row>
    <row r="29" spans="1:27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680.42700000000002</v>
      </c>
      <c r="T29" s="18">
        <f>AA29*0.95*EFs!$C$9/1000</f>
        <v>0.21075750000000001</v>
      </c>
      <c r="U29" s="11">
        <f>AA29*EFs!$E$9*44/28000</f>
        <v>0.40809214285714285</v>
      </c>
      <c r="V29" s="18">
        <f>T29*'GWP CFs'!$B$3</f>
        <v>5.9012100000000007</v>
      </c>
      <c r="W29" s="18">
        <f>U29*'GWP CFs'!$B$4</f>
        <v>108.14441785714286</v>
      </c>
      <c r="X29" s="11">
        <f>S29+V29+W29</f>
        <v>794.47262785714292</v>
      </c>
      <c r="Y29" s="25">
        <v>0</v>
      </c>
      <c r="Z29" s="25">
        <v>0</v>
      </c>
      <c r="AA29" s="39">
        <v>26.1</v>
      </c>
    </row>
    <row r="30" spans="1:27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1.4159250000000001</v>
      </c>
      <c r="U30" s="42">
        <v>0</v>
      </c>
      <c r="V30" s="44">
        <f>T30*'GWP CFs'!$B$3</f>
        <v>39.645900000000005</v>
      </c>
      <c r="W30" s="90">
        <v>0</v>
      </c>
      <c r="X30" s="46">
        <f>V30</f>
        <v>39.645900000000005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zoomScale="80" zoomScaleNormal="60" workbookViewId="0">
      <selection activeCell="U28" sqref="U28"/>
    </sheetView>
  </sheetViews>
  <sheetFormatPr baseColWidth="10" defaultRowHeight="14.5" x14ac:dyDescent="0.35"/>
  <cols>
    <col min="1" max="1" width="47.453125" customWidth="1"/>
  </cols>
  <sheetData>
    <row r="1" spans="1:27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88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[29]Summary1.As1!$B$7</f>
        <v>50658.316331525471</v>
      </c>
      <c r="C3" s="8">
        <f>[29]Summary1.As1!$C$7</f>
        <v>1127.4299024431666</v>
      </c>
      <c r="D3" s="14">
        <f>[29]Summary1.As1!$D$7</f>
        <v>35.068335253514952</v>
      </c>
      <c r="E3" s="26">
        <v>0</v>
      </c>
      <c r="F3" s="8">
        <f>[29]Summary2!C7</f>
        <v>28185.747561079163</v>
      </c>
      <c r="G3" s="8">
        <f>[29]Summary2!D7</f>
        <v>10450.363905547456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89294.427798152086</v>
      </c>
      <c r="I3" s="9">
        <f>[29]Summary2!$J$7</f>
        <v>91656.489415558128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31568.037268408665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9293.108842181462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91519.462442115604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[29]Summary1.As2!$B$8</f>
        <v>125.41742846376813</v>
      </c>
      <c r="C4" s="29">
        <f>[29]Summary1.As2!$C$8</f>
        <v>501.61407072936078</v>
      </c>
      <c r="D4" s="29">
        <f>[29]Summary1.As2!$D$8</f>
        <v>24.12168341533723</v>
      </c>
      <c r="E4" s="30">
        <v>0</v>
      </c>
      <c r="F4" s="29">
        <f>[29]Summary2!$C$28</f>
        <v>12540.351768234019</v>
      </c>
      <c r="G4" s="29">
        <f>[29]Summary2!$D$28</f>
        <v>7188.2616577704948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19854.030854468281</v>
      </c>
      <c r="I4" s="32">
        <f>[29]Summary2!$J$28</f>
        <v>19854.030854468281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14045.193980422102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6392.246105064366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20562.857513950235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41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[29]Summary1.As2!$C$9</f>
        <v>433.67517766036815</v>
      </c>
      <c r="D5" s="21">
        <v>0</v>
      </c>
      <c r="E5" s="26">
        <v>0</v>
      </c>
      <c r="F5" s="8">
        <f>[29]Summary2!$C$29</f>
        <v>10841.879441509203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10841.879441509203</v>
      </c>
      <c r="I5" s="14">
        <f>[29]Summary2!$J$29</f>
        <v>10841.879441509203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12142.904974490308</v>
      </c>
      <c r="K5" s="25">
        <v>0</v>
      </c>
      <c r="L5" s="11">
        <f t="shared" si="0"/>
        <v>12142.904974490308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41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[29]Summary1.As2!$C$10</f>
        <v>55.159196596563433</v>
      </c>
      <c r="D6" s="14">
        <f>[29]Summary1.As2!$D$10</f>
        <v>2.0101628454032499</v>
      </c>
      <c r="E6" s="26">
        <v>0</v>
      </c>
      <c r="F6" s="8">
        <f>[29]Summary2!C30</f>
        <v>1378.9799149140858</v>
      </c>
      <c r="G6" s="14">
        <f>[29]Summary2!D30</f>
        <v>599.02852793016848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1978.0084428442542</v>
      </c>
      <c r="I6" s="14">
        <f>[29]Summary2!$J$30</f>
        <v>1978.0084428442542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1544.4575047037761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532.69315403186124</v>
      </c>
      <c r="L6" s="11">
        <f t="shared" si="0"/>
        <v>2077.1506587356371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41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>
        <f>[29]Table3s2!$C$7</f>
        <v>2.2048720297344002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55.121800743360005</v>
      </c>
      <c r="G7" s="25">
        <v>0</v>
      </c>
      <c r="H7" s="7">
        <f t="shared" si="1"/>
        <v>55.121800743360005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61.736416832563208</v>
      </c>
      <c r="K7" s="25">
        <v>0</v>
      </c>
      <c r="L7" s="11">
        <f t="shared" si="0"/>
        <v>61.736416832563208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41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[29]Summary1.As2!$C$12</f>
        <v>NE</v>
      </c>
      <c r="D8" s="14">
        <f>[29]Summary1.As2!$D$12</f>
        <v>21.78840093418497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[29]Summary2!$D$32</f>
        <v>6492.9434783871211</v>
      </c>
      <c r="H8" s="7">
        <f t="shared" si="1"/>
        <v>6492.9434783871211</v>
      </c>
      <c r="I8" s="9">
        <f>[29]Summary2!$J$32</f>
        <v>6492.9434783871211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5773.9262475590176</v>
      </c>
      <c r="L8" s="11">
        <f t="shared" si="0"/>
        <v>5773.9262475590176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41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>
        <f>[29]Table3.D!$E$17</f>
        <v>8.0293714285709999E-2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23.927526857141579</v>
      </c>
      <c r="H9" s="7">
        <f t="shared" si="1"/>
        <v>23.927526857141579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21.277834285713151</v>
      </c>
      <c r="L9" s="11">
        <f t="shared" si="0"/>
        <v>21.277834285713151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7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6.3869999999999996</v>
      </c>
      <c r="Z9" s="14">
        <f>[29]Table3.D!$C$17</f>
        <v>6387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[29]Table3s2!C9</f>
        <v>NO</v>
      </c>
      <c r="D10" s="14" t="str">
        <f>[29]Table3s2!D9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41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>
        <f>[29]Table3s2!C10</f>
        <v>10.574824442694821</v>
      </c>
      <c r="D11" s="14">
        <f>[29]Table3s2!D10</f>
        <v>0.32311963574900998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264.37061106737053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96.289651453204968</v>
      </c>
      <c r="H11" s="7">
        <f t="shared" si="1"/>
        <v>360.66026252057549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296.09508439545499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85.626703473487652</v>
      </c>
      <c r="L11" s="11">
        <f t="shared" si="0"/>
        <v>381.72178786894267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41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>
        <f>[29]Table3s2!B11</f>
        <v>42.787543333333332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42.787543333333332</v>
      </c>
      <c r="I12" s="26">
        <v>0</v>
      </c>
      <c r="J12" s="25">
        <v>0</v>
      </c>
      <c r="K12" s="25">
        <v>0</v>
      </c>
      <c r="L12" s="11">
        <f t="shared" si="0"/>
        <v>42.787543333333332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41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>
        <f>[29]Table3s2!B12</f>
        <v>82.629885130434801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82.629885130434801</v>
      </c>
      <c r="I13" s="26">
        <v>0</v>
      </c>
      <c r="J13" s="25">
        <v>0</v>
      </c>
      <c r="K13" s="25">
        <v>0</v>
      </c>
      <c r="L13" s="11">
        <f t="shared" si="0"/>
        <v>82.629885130434801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41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 t="str">
        <f>[29]Table3s2!B13</f>
        <v>NA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41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[29]Table3s2!B14</f>
        <v>NO</v>
      </c>
      <c r="C15" s="14" t="str">
        <f>[29]Table3s2!C14</f>
        <v>NO</v>
      </c>
      <c r="D15" s="14" t="str">
        <f>[29]Table3s2!D14</f>
        <v>NO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89">
        <v>0</v>
      </c>
      <c r="Z15" s="90">
        <v>0</v>
      </c>
      <c r="AA15" s="42">
        <v>0</v>
      </c>
    </row>
    <row r="16" spans="1:27" x14ac:dyDescent="0.35">
      <c r="A16" s="28" t="s">
        <v>8</v>
      </c>
      <c r="B16" s="29">
        <f>[29]Table4!$B$11</f>
        <v>-2424.7595827630112</v>
      </c>
      <c r="C16" s="29" t="str">
        <f>[29]Summary1.As2!$C$21</f>
        <v>NO,IE</v>
      </c>
      <c r="D16" s="29">
        <f>[29]Summary1.As2!$D$21</f>
        <v>1.44616489714286</v>
      </c>
      <c r="E16" s="30">
        <v>0</v>
      </c>
      <c r="F16" s="29" t="str">
        <f>[29]Summary2!$C$41</f>
        <v>NO,IE</v>
      </c>
      <c r="G16" s="29">
        <f>[29]Summary2!$D$41</f>
        <v>430.9571393485723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-1993.8024434144388</v>
      </c>
      <c r="I16" s="32">
        <f>[29]Summary2!$J$41</f>
        <v>-1993.8024434144388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0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383.23369774285788</v>
      </c>
      <c r="L16" s="11">
        <f t="shared" si="2"/>
        <v>-2041.5258850201533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-1296.2837042871515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0.37204275000000003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1.5766421828571457</v>
      </c>
      <c r="P16" s="31">
        <f>N16*'GWP CFs'!$B$3</f>
        <v>10.417197000000002</v>
      </c>
      <c r="Q16" s="31">
        <f>O16*'GWP CFs'!$B$4</f>
        <v>417.81017845714365</v>
      </c>
      <c r="R16" s="33">
        <f>M16+P16+Q16</f>
        <v>-868.05632883000794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-1296.2837042871515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0.37204275000000003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1.5766421828571457</v>
      </c>
      <c r="V16" s="31">
        <f>T16*'GWP CFs'!$B$3</f>
        <v>10.417197000000002</v>
      </c>
      <c r="W16" s="31">
        <f>U16*'GWP CFs'!$B$4</f>
        <v>417.81017845714365</v>
      </c>
      <c r="X16" s="33">
        <f>S16+V16+W16</f>
        <v>-868.05632883000794</v>
      </c>
      <c r="Y16" s="29">
        <f>[29]Table4.B!$C$10</f>
        <v>8565.811349816111</v>
      </c>
      <c r="Z16" s="34">
        <v>0</v>
      </c>
      <c r="AA16" s="30">
        <v>0</v>
      </c>
    </row>
    <row r="17" spans="1:30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-1488.5536942871515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1.44616489714286</v>
      </c>
      <c r="E17" s="9">
        <f>[29]Table4.B!$P$10</f>
        <v>405.96918935104134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430.9571393485723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-1057.5965549385792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383.23369774285788</v>
      </c>
      <c r="L17" s="11">
        <f t="shared" si="2"/>
        <v>-1105.3199965442936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[29]Table4.B!$D$10</f>
        <v>8559.4243498161104</v>
      </c>
      <c r="Z17" s="25">
        <v>0</v>
      </c>
      <c r="AA17" s="26">
        <v>0</v>
      </c>
    </row>
    <row r="18" spans="1:30" x14ac:dyDescent="0.35">
      <c r="A18" s="22" t="s">
        <v>44</v>
      </c>
      <c r="B18" s="12">
        <v>0</v>
      </c>
      <c r="C18" s="21">
        <v>0</v>
      </c>
      <c r="D18" s="48">
        <f>'[29]Table4(III)'!$D$13</f>
        <v>1.44616489714286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430.9571393485723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430.9571393485723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383.23369774285788</v>
      </c>
      <c r="L18" s="11">
        <f t="shared" si="2"/>
        <v>383.23369774285788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'[29]Table4(III)'!$B$13</f>
        <v>950.28779927849723</v>
      </c>
      <c r="Z18" s="25">
        <v>0</v>
      </c>
      <c r="AA18" s="26">
        <v>0</v>
      </c>
    </row>
    <row r="19" spans="1:30" x14ac:dyDescent="0.35">
      <c r="A19" s="6" t="s">
        <v>45</v>
      </c>
      <c r="B19" s="49" t="str">
        <f>'[29]Table4(II)'!$G$22</f>
        <v>NO</v>
      </c>
      <c r="C19" s="48" t="str">
        <f>'[29]Table4(II)'!$I$22</f>
        <v>NO</v>
      </c>
      <c r="D19" s="48" t="str">
        <f>'[29]Table4(II)'!$H$22</f>
        <v>NO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'[29]Table4(II)'!$C$22</f>
        <v>NO</v>
      </c>
      <c r="Z19" s="25">
        <v>0</v>
      </c>
      <c r="AA19" s="26">
        <v>0</v>
      </c>
    </row>
    <row r="20" spans="1:30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117.09499999999998</v>
      </c>
      <c r="C20" s="48" t="str">
        <f>'[29]Table4(II)'!$I$18</f>
        <v>NO</v>
      </c>
      <c r="D20" s="25">
        <v>0</v>
      </c>
      <c r="E20" s="9">
        <f>[29]Table4.B!$Q$10</f>
        <v>-31.934999999999999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0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117.09499999999998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0</v>
      </c>
      <c r="K20" s="25">
        <v>0</v>
      </c>
      <c r="L20" s="11">
        <f t="shared" si="2"/>
        <v>117.09499999999998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EFs!$B$3*44/12</f>
        <v>192.26999000000001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EFs!$E$3*44/28000</f>
        <v>0.13047728571428571</v>
      </c>
      <c r="P20" s="7">
        <f>N20*'GWP CFs'!$B$3</f>
        <v>0</v>
      </c>
      <c r="Q20" s="18">
        <f>O20*'GWP CFs'!$B$4</f>
        <v>34.576480714285715</v>
      </c>
      <c r="R20" s="11">
        <f>M20+P20+Q20</f>
        <v>226.84647071428572</v>
      </c>
      <c r="S20" s="18">
        <f>AA20*EFs!$B$3*44/12</f>
        <v>192.26999000000001</v>
      </c>
      <c r="T20" s="18">
        <f>AA20*0.95*EFs!$C$3/1000</f>
        <v>0</v>
      </c>
      <c r="U20" s="11">
        <f>AA20*EFs!$E$3*44/28000</f>
        <v>0.13047728571428571</v>
      </c>
      <c r="V20" s="18">
        <f>T20*'GWP CFs'!$B$3</f>
        <v>0</v>
      </c>
      <c r="W20" s="18">
        <f>U20*'GWP CFs'!$B$4</f>
        <v>34.576480714285715</v>
      </c>
      <c r="X20" s="11">
        <f>S20+V20+W20</f>
        <v>226.84647071428572</v>
      </c>
      <c r="Y20" s="14">
        <f>[29]Table4.B!$E$10</f>
        <v>6.3869999999999996</v>
      </c>
      <c r="Z20" s="25">
        <v>0</v>
      </c>
      <c r="AA20" s="39">
        <v>6.3869999999999996</v>
      </c>
    </row>
    <row r="21" spans="1:30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0.05*EFs!$D$3/1000</f>
        <v>0.37204275000000003</v>
      </c>
      <c r="O21" s="26">
        <v>0</v>
      </c>
      <c r="P21" s="7">
        <f>N21*'GWP CFs'!$B$3</f>
        <v>10.417197000000002</v>
      </c>
      <c r="Q21" s="25">
        <v>0</v>
      </c>
      <c r="R21" s="11">
        <f>M21+P21+Q21</f>
        <v>10.417197000000002</v>
      </c>
      <c r="S21" s="25">
        <v>0</v>
      </c>
      <c r="T21" s="18">
        <f>AA20*0.05*EFs!$D$3/1000</f>
        <v>0.37204275000000003</v>
      </c>
      <c r="U21" s="42">
        <v>0</v>
      </c>
      <c r="V21" s="18">
        <f>T21*'GWP CFs'!$B$3</f>
        <v>10.417197000000002</v>
      </c>
      <c r="W21" s="25">
        <v>0</v>
      </c>
      <c r="X21" s="11">
        <f>V21</f>
        <v>10.417197000000002</v>
      </c>
      <c r="Y21" s="25">
        <v>0</v>
      </c>
      <c r="Z21" s="25">
        <v>0</v>
      </c>
      <c r="AA21" s="26">
        <v>0</v>
      </c>
    </row>
    <row r="22" spans="1:30" x14ac:dyDescent="0.35">
      <c r="A22" s="28" t="s">
        <v>7</v>
      </c>
      <c r="B22" s="29">
        <f>[29]Table4!$B$14</f>
        <v>145.61176989208948</v>
      </c>
      <c r="C22" s="29" t="str">
        <f>[29]Summary1.As2!$C$22</f>
        <v>NO</v>
      </c>
      <c r="D22" s="29">
        <f>[29]Summary1.As2!$D$22</f>
        <v>0.13</v>
      </c>
      <c r="E22" s="30">
        <v>0</v>
      </c>
      <c r="F22" s="29" t="str">
        <f>[29]Summary2!$C$42</f>
        <v>NO</v>
      </c>
      <c r="G22" s="29">
        <f>[29]Summary2!$D$42</f>
        <v>38.74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184.35176989208949</v>
      </c>
      <c r="I22" s="32">
        <f>[29]Summary2!$J$42</f>
        <v>184.35176989208949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0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34.450000000000003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180.0617698920895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-17.8229296311806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0.33489399999999997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0.18460462857142856</v>
      </c>
      <c r="P22" s="31">
        <f>N22*'GWP CFs'!$B$3</f>
        <v>9.3770319999999998</v>
      </c>
      <c r="Q22" s="31">
        <f>O22*'GWP CFs'!$B$4</f>
        <v>48.920226571428572</v>
      </c>
      <c r="R22" s="33">
        <f>M22+P22+Q22</f>
        <v>40.474328940247972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-17.8229296311806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0.33489399999999997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0.18460462857142856</v>
      </c>
      <c r="V22" s="31">
        <f>T22*'GWP CFs'!$B$3</f>
        <v>9.3770319999999998</v>
      </c>
      <c r="W22" s="31">
        <f>U22*'GWP CFs'!$B$4</f>
        <v>48.920226571428572</v>
      </c>
      <c r="X22" s="33">
        <f>S22+V22+W22</f>
        <v>40.474328940247972</v>
      </c>
      <c r="Y22" s="29">
        <f>[29]Table4.C!$C$10</f>
        <v>5023.2061340518621</v>
      </c>
      <c r="Z22" s="34">
        <v>0</v>
      </c>
      <c r="AA22" s="30">
        <v>0</v>
      </c>
    </row>
    <row r="23" spans="1:30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-128.79958296451392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0.13</v>
      </c>
      <c r="E23" s="9">
        <f>[29]Table4.C!$P$10</f>
        <v>35.127158990321981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38.74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-90.059582964513908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34.450000000000003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-94.349582964513914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[29]Table4.C!$D$10</f>
        <v>5018.1701340518621</v>
      </c>
      <c r="Z23" s="25">
        <v>0</v>
      </c>
      <c r="AA23" s="26">
        <v>0</v>
      </c>
    </row>
    <row r="24" spans="1:30" x14ac:dyDescent="0.35">
      <c r="A24" s="22" t="s">
        <v>44</v>
      </c>
      <c r="B24" s="25">
        <v>0</v>
      </c>
      <c r="C24" s="25">
        <v>0</v>
      </c>
      <c r="D24" s="48">
        <f>'[29]Table4(III)'!$D$20</f>
        <v>0.13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38.74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38.74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34.450000000000003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34.450000000000003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>
        <f>'[29]Table4(III)'!$B$20</f>
        <v>83.337327094179358</v>
      </c>
      <c r="Z24" s="25">
        <v>0</v>
      </c>
      <c r="AA24" s="26">
        <v>0</v>
      </c>
      <c r="AD24" s="82"/>
    </row>
    <row r="25" spans="1:30" x14ac:dyDescent="0.35">
      <c r="A25" s="6" t="s">
        <v>45</v>
      </c>
      <c r="B25" s="49" t="str">
        <f>'[29]Table4(II)'!$G$30</f>
        <v>NO</v>
      </c>
      <c r="C25" s="48" t="str">
        <f>'[29]Table4(II)'!$I$30</f>
        <v>NO</v>
      </c>
      <c r="D25" s="48" t="str">
        <f>'[29]Table4(II)'!$H$30</f>
        <v>NO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'[29]Table4(II)'!$C$30</f>
        <v>NO</v>
      </c>
      <c r="Z25" s="25">
        <v>0</v>
      </c>
      <c r="AA25" s="26">
        <v>0</v>
      </c>
    </row>
    <row r="26" spans="1:30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-4.6163333333333325</v>
      </c>
      <c r="C26" s="48" t="str">
        <f>'[29]Table4(II)'!$I$26</f>
        <v>NO</v>
      </c>
      <c r="D26" s="25">
        <v>0</v>
      </c>
      <c r="E26" s="9">
        <f>[29]Table4.C!$Q$10</f>
        <v>1.2589999999999999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0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-4.6163333333333325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0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-4.6163333333333325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$5*44/12</f>
        <v>110.97665333333332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$5/1000</f>
        <v>8.1331399999999984E-2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$5*44/28000</f>
        <v>5.4604628571428566E-2</v>
      </c>
      <c r="P26" s="7">
        <f>N26*'GWP CFs'!$B$3</f>
        <v>2.2772791999999997</v>
      </c>
      <c r="Q26" s="7">
        <f>O26*'GWP CFs'!$B$4</f>
        <v>14.47022657142857</v>
      </c>
      <c r="R26" s="11">
        <f>M26+P26+Q26</f>
        <v>127.72415910476188</v>
      </c>
      <c r="S26" s="18">
        <f>AA26*EFs!$B$5*44/12</f>
        <v>110.97665333333332</v>
      </c>
      <c r="T26" s="18">
        <f>AA26*0.95*EFs!$C$5/1000</f>
        <v>8.1331399999999984E-2</v>
      </c>
      <c r="U26" s="11">
        <f>AA26*EFs!$E$5*44/28000</f>
        <v>5.4604628571428566E-2</v>
      </c>
      <c r="V26" s="18">
        <f>T26*'GWP CFs'!$B$3</f>
        <v>2.2772791999999997</v>
      </c>
      <c r="W26" s="18">
        <f>U26*'GWP CFs'!$B$4</f>
        <v>14.47022657142857</v>
      </c>
      <c r="X26" s="11">
        <f>S26+V26+W26</f>
        <v>127.72415910476188</v>
      </c>
      <c r="Y26" s="14">
        <f>[29]Table4.C!$E$10</f>
        <v>5.0359999999999996</v>
      </c>
      <c r="Z26" s="25">
        <v>0</v>
      </c>
      <c r="AA26" s="39">
        <v>5.0359999999999996</v>
      </c>
    </row>
    <row r="27" spans="1:30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$5/1000</f>
        <v>0.25356259999999997</v>
      </c>
      <c r="O27" s="10">
        <v>0</v>
      </c>
      <c r="P27" s="7">
        <f>N27*'GWP CFs'!$B$3</f>
        <v>7.0997527999999992</v>
      </c>
      <c r="Q27" s="21">
        <v>0</v>
      </c>
      <c r="R27" s="11">
        <f>P27</f>
        <v>7.0997527999999992</v>
      </c>
      <c r="S27" s="25">
        <v>0</v>
      </c>
      <c r="T27" s="18">
        <f>AA26*0.05*EFs!$D$5/1000</f>
        <v>0.25356259999999997</v>
      </c>
      <c r="U27" s="26">
        <v>0</v>
      </c>
      <c r="V27" s="18">
        <f>T27*'GWP CFs'!$B$3</f>
        <v>7.0997527999999992</v>
      </c>
      <c r="W27" s="25">
        <v>0</v>
      </c>
      <c r="X27" s="11">
        <f>V27</f>
        <v>7.0997527999999992</v>
      </c>
      <c r="Y27" s="25">
        <v>0</v>
      </c>
      <c r="Z27" s="25">
        <v>0</v>
      </c>
      <c r="AA27" s="26">
        <v>0</v>
      </c>
    </row>
    <row r="28" spans="1:30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16027.053899999999</v>
      </c>
      <c r="T28" s="31">
        <f>T29+T30</f>
        <v>38.315540249999998</v>
      </c>
      <c r="U28" s="33">
        <f>U29</f>
        <v>9.6123680714285715</v>
      </c>
      <c r="V28" s="31">
        <f>V29+V30</f>
        <v>1072.8351270000001</v>
      </c>
      <c r="W28" s="31">
        <f>W29</f>
        <v>2547.2775389285716</v>
      </c>
      <c r="X28" s="33">
        <f>X29+X30</f>
        <v>19647.166565928572</v>
      </c>
      <c r="Y28" s="34">
        <v>0</v>
      </c>
      <c r="Z28" s="34">
        <v>0</v>
      </c>
      <c r="AA28" s="30">
        <v>0</v>
      </c>
    </row>
    <row r="29" spans="1:30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16027.053899999999</v>
      </c>
      <c r="T29" s="18">
        <f>AA29*0.95*EFs!$C$9/1000</f>
        <v>4.9642677499999994</v>
      </c>
      <c r="U29" s="11">
        <f>AA29*EFs!$E$9*44/28000</f>
        <v>9.6123680714285715</v>
      </c>
      <c r="V29" s="18">
        <f>T29*'GWP CFs'!$B$3</f>
        <v>138.99949699999999</v>
      </c>
      <c r="W29" s="18">
        <f>U29*'GWP CFs'!$B$4</f>
        <v>2547.2775389285716</v>
      </c>
      <c r="X29" s="11">
        <f>S29+V29+W29</f>
        <v>18713.33093592857</v>
      </c>
      <c r="Y29" s="25">
        <v>0</v>
      </c>
      <c r="Z29" s="25">
        <v>0</v>
      </c>
      <c r="AA29" s="39">
        <v>614.77</v>
      </c>
    </row>
    <row r="30" spans="1:30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33.3512725</v>
      </c>
      <c r="U30" s="42">
        <v>0</v>
      </c>
      <c r="V30" s="44">
        <f>T30*'GWP CFs'!$B$3</f>
        <v>933.83563000000004</v>
      </c>
      <c r="W30" s="90">
        <v>0</v>
      </c>
      <c r="X30" s="46">
        <f>V30</f>
        <v>933.83563000000004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E9" sqref="E9"/>
    </sheetView>
  </sheetViews>
  <sheetFormatPr baseColWidth="10" defaultRowHeight="14.5" x14ac:dyDescent="0.35"/>
  <cols>
    <col min="1" max="1" width="15.453125" customWidth="1"/>
  </cols>
  <sheetData>
    <row r="1" spans="1:5" x14ac:dyDescent="0.35">
      <c r="A1" s="36" t="s">
        <v>25</v>
      </c>
      <c r="B1" s="36" t="s">
        <v>26</v>
      </c>
      <c r="C1" s="36" t="s">
        <v>27</v>
      </c>
      <c r="D1" s="36" t="s">
        <v>28</v>
      </c>
      <c r="E1" s="36" t="s">
        <v>29</v>
      </c>
    </row>
    <row r="2" spans="1:5" x14ac:dyDescent="0.35">
      <c r="A2" s="36" t="s">
        <v>55</v>
      </c>
      <c r="B2" s="13">
        <f>7.9+0.12</f>
        <v>8.02</v>
      </c>
      <c r="C2" s="13">
        <v>0</v>
      </c>
      <c r="D2" s="13">
        <v>1165</v>
      </c>
      <c r="E2" s="13">
        <v>13</v>
      </c>
    </row>
    <row r="3" spans="1:5" x14ac:dyDescent="0.35">
      <c r="A3" s="36" t="s">
        <v>56</v>
      </c>
      <c r="B3" s="13">
        <f>7.9+0.31</f>
        <v>8.2100000000000009</v>
      </c>
      <c r="C3" s="13">
        <v>0</v>
      </c>
      <c r="D3" s="13">
        <v>1165</v>
      </c>
      <c r="E3" s="13">
        <v>13</v>
      </c>
    </row>
    <row r="4" spans="1:5" x14ac:dyDescent="0.35">
      <c r="A4" s="36" t="s">
        <v>30</v>
      </c>
      <c r="B4" s="13">
        <f>5.7+0.12</f>
        <v>5.82</v>
      </c>
      <c r="C4" s="13">
        <v>1.4</v>
      </c>
      <c r="D4" s="13">
        <v>1165</v>
      </c>
      <c r="E4" s="13">
        <v>9.5</v>
      </c>
    </row>
    <row r="5" spans="1:5" x14ac:dyDescent="0.35">
      <c r="A5" s="36" t="s">
        <v>31</v>
      </c>
      <c r="B5" s="13">
        <f>5.7+0.31</f>
        <v>6.01</v>
      </c>
      <c r="C5" s="13">
        <v>17</v>
      </c>
      <c r="D5" s="13">
        <v>1007</v>
      </c>
      <c r="E5" s="13">
        <v>6.9</v>
      </c>
    </row>
    <row r="6" spans="1:5" x14ac:dyDescent="0.35">
      <c r="A6" s="37" t="s">
        <v>32</v>
      </c>
      <c r="B6">
        <f>6.1+0.31</f>
        <v>6.4099999999999993</v>
      </c>
      <c r="C6">
        <v>16</v>
      </c>
      <c r="D6">
        <v>1165</v>
      </c>
      <c r="E6">
        <v>8.1999999999999993</v>
      </c>
    </row>
    <row r="7" spans="1:5" x14ac:dyDescent="0.35">
      <c r="A7" s="36" t="s">
        <v>33</v>
      </c>
      <c r="B7" s="13">
        <f>3.6+0.31</f>
        <v>3.91</v>
      </c>
      <c r="C7" s="13">
        <v>39</v>
      </c>
      <c r="D7" s="13">
        <v>527</v>
      </c>
      <c r="E7" s="13">
        <v>1.6</v>
      </c>
    </row>
    <row r="8" spans="1:5" x14ac:dyDescent="0.35">
      <c r="A8" s="36" t="s">
        <v>123</v>
      </c>
      <c r="B8" s="13">
        <f>2.36+0.31</f>
        <v>2.67</v>
      </c>
      <c r="C8" s="13">
        <v>48.7</v>
      </c>
      <c r="D8" s="13">
        <v>527</v>
      </c>
      <c r="E8" s="13">
        <v>1.5</v>
      </c>
    </row>
    <row r="9" spans="1:5" x14ac:dyDescent="0.35">
      <c r="A9" s="36" t="s">
        <v>124</v>
      </c>
      <c r="B9" s="13">
        <f>6.8+0.31</f>
        <v>7.1099999999999994</v>
      </c>
      <c r="C9" s="13">
        <v>8.5</v>
      </c>
      <c r="D9" s="13">
        <v>1085</v>
      </c>
      <c r="E9" s="13">
        <f>(E3+E5)/2</f>
        <v>9.9499999999999993</v>
      </c>
    </row>
    <row r="10" spans="1:5" x14ac:dyDescent="0.35">
      <c r="A10" s="36" t="s">
        <v>99</v>
      </c>
      <c r="B10" s="81">
        <v>8.1</v>
      </c>
      <c r="C10" s="86">
        <v>26</v>
      </c>
      <c r="D10" s="81">
        <v>0</v>
      </c>
      <c r="E10" s="81">
        <v>11.1</v>
      </c>
    </row>
    <row r="11" spans="1:5" x14ac:dyDescent="0.35">
      <c r="A11" s="36" t="s">
        <v>100</v>
      </c>
      <c r="B11" s="81">
        <v>6.7444569999999997</v>
      </c>
      <c r="C11" s="83">
        <v>20.9009</v>
      </c>
      <c r="D11" s="81">
        <v>0</v>
      </c>
      <c r="E11" s="81">
        <v>4.5999999999999996</v>
      </c>
    </row>
    <row r="12" spans="1:5" x14ac:dyDescent="0.35">
      <c r="A12" s="36" t="s">
        <v>101</v>
      </c>
      <c r="B12" s="81">
        <v>6.68</v>
      </c>
      <c r="C12" s="81"/>
      <c r="D12" s="81"/>
      <c r="E12" s="81">
        <v>9.7324579999999994</v>
      </c>
    </row>
    <row r="13" spans="1:5" x14ac:dyDescent="0.35">
      <c r="A13" s="36" t="s">
        <v>102</v>
      </c>
      <c r="B13" s="81">
        <v>3.62</v>
      </c>
      <c r="C13" s="81"/>
      <c r="D13" s="81"/>
      <c r="E13" s="81">
        <v>9.7324579999999994</v>
      </c>
    </row>
    <row r="14" spans="1:5" x14ac:dyDescent="0.35">
      <c r="A14" s="36" t="s">
        <v>103</v>
      </c>
      <c r="B14" s="81">
        <v>7.51</v>
      </c>
      <c r="C14" s="86">
        <v>1</v>
      </c>
      <c r="D14" s="86">
        <v>1165</v>
      </c>
      <c r="E14" s="81">
        <v>19.100000000000001</v>
      </c>
    </row>
    <row r="15" spans="1:5" x14ac:dyDescent="0.35">
      <c r="A15" s="36" t="s">
        <v>104</v>
      </c>
      <c r="B15" s="81">
        <f>2.465426+0.31</f>
        <v>2.7754259999999999</v>
      </c>
      <c r="C15" s="81">
        <v>41.946786000000003</v>
      </c>
      <c r="D15" s="81">
        <v>741.50567999999998</v>
      </c>
      <c r="E15" s="81">
        <v>2.3285122</v>
      </c>
    </row>
    <row r="16" spans="1:5" x14ac:dyDescent="0.35">
      <c r="A16" s="36" t="s">
        <v>105</v>
      </c>
      <c r="B16" s="81">
        <v>3.6</v>
      </c>
      <c r="C16" s="86">
        <v>73</v>
      </c>
      <c r="D16" s="86">
        <v>527</v>
      </c>
      <c r="E16" s="83">
        <v>3.2</v>
      </c>
    </row>
    <row r="17" spans="1:5" x14ac:dyDescent="0.35">
      <c r="A17" s="36" t="s">
        <v>113</v>
      </c>
      <c r="B17" s="81">
        <f>5.9866+0.15546</f>
        <v>6.1420599999999999</v>
      </c>
      <c r="C17" s="86">
        <v>0</v>
      </c>
      <c r="D17" s="86">
        <v>1165</v>
      </c>
      <c r="E17" s="83">
        <v>13</v>
      </c>
    </row>
    <row r="18" spans="1:5" x14ac:dyDescent="0.35">
      <c r="A18" s="36" t="s">
        <v>114</v>
      </c>
      <c r="B18" s="81">
        <f>2.36+0.196</f>
        <v>2.556</v>
      </c>
      <c r="C18" s="86">
        <v>48.7</v>
      </c>
      <c r="D18" s="86">
        <v>527</v>
      </c>
      <c r="E18" s="83">
        <v>1.5</v>
      </c>
    </row>
    <row r="19" spans="1:5" x14ac:dyDescent="0.35">
      <c r="A19" s="36" t="s">
        <v>47</v>
      </c>
      <c r="B19" s="82"/>
      <c r="C19" s="82"/>
      <c r="D19" s="82"/>
      <c r="E19" s="82"/>
    </row>
    <row r="20" spans="1:5" x14ac:dyDescent="0.35">
      <c r="A20" s="36" t="s">
        <v>48</v>
      </c>
    </row>
    <row r="21" spans="1:5" x14ac:dyDescent="0.35">
      <c r="A21" s="36" t="s">
        <v>49</v>
      </c>
    </row>
    <row r="22" spans="1:5" x14ac:dyDescent="0.35">
      <c r="A22" s="36" t="s">
        <v>50</v>
      </c>
    </row>
    <row r="23" spans="1:5" x14ac:dyDescent="0.35">
      <c r="A23" s="36" t="s">
        <v>51</v>
      </c>
    </row>
    <row r="24" spans="1:5" x14ac:dyDescent="0.35">
      <c r="A24" s="36" t="s">
        <v>52</v>
      </c>
    </row>
    <row r="25" spans="1:5" x14ac:dyDescent="0.35">
      <c r="A25" s="36" t="s">
        <v>53</v>
      </c>
    </row>
    <row r="26" spans="1:5" x14ac:dyDescent="0.35">
      <c r="A26" s="36" t="s">
        <v>54</v>
      </c>
    </row>
    <row r="27" spans="1:5" x14ac:dyDescent="0.35">
      <c r="B27" t="s">
        <v>34</v>
      </c>
      <c r="C27" t="s">
        <v>35</v>
      </c>
      <c r="D27" t="s">
        <v>35</v>
      </c>
      <c r="E27" t="s">
        <v>36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zoomScale="95" zoomScaleNormal="60" workbookViewId="0">
      <selection activeCell="S32" sqref="S32"/>
    </sheetView>
  </sheetViews>
  <sheetFormatPr baseColWidth="10" defaultRowHeight="14.5" x14ac:dyDescent="0.35"/>
  <cols>
    <col min="1" max="1" width="47.453125" customWidth="1"/>
  </cols>
  <sheetData>
    <row r="1" spans="1:27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88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[30]Summary1.As1!$B$7</f>
        <v>30359.358953846422</v>
      </c>
      <c r="C3" s="8">
        <f>[30]Summary1.As1!$C$7</f>
        <v>178.5181346851063</v>
      </c>
      <c r="D3" s="14">
        <f>[30]Summary1.As1!$D$7</f>
        <v>7.1668390052980602</v>
      </c>
      <c r="E3" s="26">
        <v>0</v>
      </c>
      <c r="F3" s="8">
        <f>[30]Summary2!C7</f>
        <v>4462.9533671276577</v>
      </c>
      <c r="G3" s="8">
        <f>[30]Summary2!D7</f>
        <v>2135.7180235788219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36958.030344552899</v>
      </c>
      <c r="I3" s="9">
        <f>[30]Summary2!$J$7</f>
        <v>37677.973753612801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4998.5077711829763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1899.212336403986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37257.079061433382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[30]Summary1.As2!$B$8</f>
        <v>79.422530938553294</v>
      </c>
      <c r="C4" s="29">
        <f>[30]Summary1.As2!$C$8</f>
        <v>44.067665419278747</v>
      </c>
      <c r="D4" s="29">
        <f>[30]Summary1.As2!$D$8</f>
        <v>5.2489015204746101</v>
      </c>
      <c r="E4" s="30">
        <v>0</v>
      </c>
      <c r="F4" s="29">
        <f>[30]Summary2!$C$28</f>
        <v>1101.6916354819687</v>
      </c>
      <c r="G4" s="29">
        <f>[30]Summary2!$D$28</f>
        <v>1564.1726531014338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2745.2868195219557</v>
      </c>
      <c r="I4" s="32">
        <f>[30]Summary2!$J$28</f>
        <v>2745.2868195219557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1233.8946317398049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1390.9589029257718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2704.2760656041301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41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[30]Summary1.As2!$C$9</f>
        <v>39.785842461038058</v>
      </c>
      <c r="D5" s="21">
        <v>0</v>
      </c>
      <c r="E5" s="26">
        <v>0</v>
      </c>
      <c r="F5" s="8">
        <f>[30]Summary2!$C$29</f>
        <v>994.6460615259515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994.6460615259515</v>
      </c>
      <c r="I5" s="14">
        <f>[30]Summary2!$J$29</f>
        <v>994.6460615259515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1114.0035889090657</v>
      </c>
      <c r="K5" s="25">
        <v>0</v>
      </c>
      <c r="L5" s="11">
        <f t="shared" si="0"/>
        <v>1114.0035889090657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41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[30]Summary1.As2!$C$10</f>
        <v>4.2818229582406904</v>
      </c>
      <c r="D6" s="14">
        <f>[30]Summary1.As2!$D$10</f>
        <v>0.57474132006375001</v>
      </c>
      <c r="E6" s="26">
        <v>0</v>
      </c>
      <c r="F6" s="8">
        <f>[30]Summary2!C30</f>
        <v>107.04557395601725</v>
      </c>
      <c r="G6" s="14">
        <f>[30]Summary2!D30</f>
        <v>171.27291337899749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278.31848733501477</v>
      </c>
      <c r="I6" s="14">
        <f>[30]Summary2!$J$30</f>
        <v>278.31848733501477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119.89104283073934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152.30644981689375</v>
      </c>
      <c r="L6" s="11">
        <f t="shared" si="0"/>
        <v>272.19749264763311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41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 t="str">
        <f>[30]Table3s2!$C$7</f>
        <v>NO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0</v>
      </c>
      <c r="G7" s="25">
        <v>0</v>
      </c>
      <c r="H7" s="7">
        <f t="shared" si="1"/>
        <v>0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0</v>
      </c>
      <c r="K7" s="25">
        <v>0</v>
      </c>
      <c r="L7" s="11">
        <f t="shared" si="0"/>
        <v>0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41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[30]Summary1.As2!$C$12</f>
        <v>NO</v>
      </c>
      <c r="D8" s="14">
        <f>[30]Summary1.As2!$D$12</f>
        <v>4.67416020041086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[30]Summary2!$D$32</f>
        <v>1392.8997397224364</v>
      </c>
      <c r="H8" s="7">
        <f t="shared" si="1"/>
        <v>1392.8997397224364</v>
      </c>
      <c r="I8" s="9">
        <f>[30]Summary2!$J$32</f>
        <v>1392.8997397224364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1238.6524531088778</v>
      </c>
      <c r="L8" s="11">
        <f t="shared" si="0"/>
        <v>1238.6524531088778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41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 t="str">
        <f>[30]Table3.D!$E$17</f>
        <v>NE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0</v>
      </c>
      <c r="H9" s="7">
        <f t="shared" si="1"/>
        <v>0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0</v>
      </c>
      <c r="L9" s="11">
        <f t="shared" si="0"/>
        <v>0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7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0</v>
      </c>
      <c r="Z9" s="14" t="str">
        <f>[30]Table3.D!$C$17</f>
        <v>NE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[30]Table3s2!C9</f>
        <v>NO</v>
      </c>
      <c r="D10" s="14" t="str">
        <f>[30]Table3s2!D9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41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 t="str">
        <f>[30]Table3s2!C10</f>
        <v>NO</v>
      </c>
      <c r="D11" s="14" t="str">
        <f>[30]Table3s2!D10</f>
        <v>NO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0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0</v>
      </c>
      <c r="H11" s="7">
        <f t="shared" si="1"/>
        <v>0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0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0</v>
      </c>
      <c r="L11" s="11">
        <f t="shared" si="0"/>
        <v>0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41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>
        <f>[30]Table3s2!B11</f>
        <v>13.45628827721948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13.45628827721948</v>
      </c>
      <c r="I12" s="26">
        <v>0</v>
      </c>
      <c r="J12" s="25">
        <v>0</v>
      </c>
      <c r="K12" s="25">
        <v>0</v>
      </c>
      <c r="L12" s="11">
        <f t="shared" si="0"/>
        <v>13.45628827721948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41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>
        <f>[30]Table3s2!B12</f>
        <v>65.966242661333808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65.966242661333808</v>
      </c>
      <c r="I13" s="26">
        <v>0</v>
      </c>
      <c r="J13" s="25">
        <v>0</v>
      </c>
      <c r="K13" s="25">
        <v>0</v>
      </c>
      <c r="L13" s="11">
        <f t="shared" si="0"/>
        <v>65.966242661333808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41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 t="str">
        <f>[30]Table3s2!B13</f>
        <v>NO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41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[30]Table3s2!B14</f>
        <v>NO</v>
      </c>
      <c r="C15" s="14" t="str">
        <f>[30]Table3s2!C14</f>
        <v>NO</v>
      </c>
      <c r="D15" s="14" t="str">
        <f>[30]Table3s2!D14</f>
        <v>NO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89">
        <v>0</v>
      </c>
      <c r="Z15" s="90">
        <v>0</v>
      </c>
      <c r="AA15" s="42">
        <v>0</v>
      </c>
    </row>
    <row r="16" spans="1:27" x14ac:dyDescent="0.35">
      <c r="A16" s="28" t="s">
        <v>8</v>
      </c>
      <c r="B16" s="29">
        <f>[30]Table4!$B$11</f>
        <v>-1147.952276736321</v>
      </c>
      <c r="C16" s="29" t="str">
        <f>[30]Summary1.As2!$C$21</f>
        <v>NO</v>
      </c>
      <c r="D16" s="29">
        <f>[30]Summary1.As2!$D$21</f>
        <v>2.7717557738100002E-2</v>
      </c>
      <c r="E16" s="30">
        <v>0</v>
      </c>
      <c r="F16" s="29" t="str">
        <f>[30]Summary2!$C$41</f>
        <v>NO</v>
      </c>
      <c r="G16" s="29">
        <f>[30]Summary2!$D$41</f>
        <v>8.2598322059537992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-1139.6924445303671</v>
      </c>
      <c r="I16" s="32">
        <f>[30]Summary2!$J$41</f>
        <v>-1139.6924445303673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0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7.3451528005965008</v>
      </c>
      <c r="L16" s="11">
        <f t="shared" si="2"/>
        <v>-1140.6071239357245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-23.134751402986591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0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2.7717557738100002E-2</v>
      </c>
      <c r="P16" s="31">
        <f>N16*'GWP CFs'!$B$3</f>
        <v>0</v>
      </c>
      <c r="Q16" s="31">
        <f>O16*'GWP CFs'!$B$4</f>
        <v>7.3451528005965008</v>
      </c>
      <c r="R16" s="33">
        <f>M16+P16+Q16</f>
        <v>-15.78959860239009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-23.134751402986591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0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2.7717557738100002E-2</v>
      </c>
      <c r="V16" s="31">
        <f>T16*'GWP CFs'!$B$3</f>
        <v>0</v>
      </c>
      <c r="W16" s="31">
        <f>U16*'GWP CFs'!$B$4</f>
        <v>7.3451528005965008</v>
      </c>
      <c r="X16" s="33">
        <f>S16+V16+W16</f>
        <v>-15.78959860239009</v>
      </c>
      <c r="Y16" s="29">
        <f>[30]Table4.B!$C$10</f>
        <v>1527.4190000000001</v>
      </c>
      <c r="Z16" s="34">
        <v>0</v>
      </c>
      <c r="AA16" s="30">
        <v>0</v>
      </c>
    </row>
    <row r="17" spans="1:27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-23.134751402986591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2.7717557738100002E-2</v>
      </c>
      <c r="E17" s="9">
        <f>[30]Table4.B!$P$10</f>
        <v>6.3094776553599798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8.259832205953801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-14.87491919703279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7.3451528005965008</v>
      </c>
      <c r="L17" s="11">
        <f t="shared" si="2"/>
        <v>-15.78959860239009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[30]Table4.B!$D$10</f>
        <v>1527.4190000000001</v>
      </c>
      <c r="Z17" s="25">
        <v>0</v>
      </c>
      <c r="AA17" s="26">
        <v>0</v>
      </c>
    </row>
    <row r="18" spans="1:27" x14ac:dyDescent="0.35">
      <c r="A18" s="22" t="s">
        <v>44</v>
      </c>
      <c r="B18" s="12">
        <v>0</v>
      </c>
      <c r="C18" s="21">
        <v>0</v>
      </c>
      <c r="D18" s="48">
        <f>'[30]Table4(III)'!$D$13</f>
        <v>2.7717557738100002E-2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8.259832205953801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8.259832205953801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7.3451528005965008</v>
      </c>
      <c r="L18" s="11">
        <f t="shared" si="2"/>
        <v>7.3451528005965008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'[30]Table4(III)'!$B$13</f>
        <v>22.61</v>
      </c>
      <c r="Z18" s="25">
        <v>0</v>
      </c>
      <c r="AA18" s="26">
        <v>0</v>
      </c>
    </row>
    <row r="19" spans="1:27" x14ac:dyDescent="0.35">
      <c r="A19" s="6" t="s">
        <v>45</v>
      </c>
      <c r="B19" s="49" t="str">
        <f>'[30]Table4(II)'!$G$22</f>
        <v>NO</v>
      </c>
      <c r="C19" s="48" t="str">
        <f>'[30]Table4(II)'!$I$22</f>
        <v>NO</v>
      </c>
      <c r="D19" s="48" t="str">
        <f>'[30]Table4(II)'!$H$22</f>
        <v>NO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'[30]Table4(II)'!$C$22</f>
        <v>NO</v>
      </c>
      <c r="Z19" s="25">
        <v>0</v>
      </c>
      <c r="AA19" s="26">
        <v>0</v>
      </c>
    </row>
    <row r="20" spans="1:27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0</v>
      </c>
      <c r="C20" s="48" t="str">
        <f>'[30]Table4(II)'!$I$18</f>
        <v>NO</v>
      </c>
      <c r="D20" s="25">
        <v>0</v>
      </c>
      <c r="E20" s="9" t="str">
        <f>[30]Table4.B!$Q$10</f>
        <v>NO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0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0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0</v>
      </c>
      <c r="K20" s="25">
        <v>0</v>
      </c>
      <c r="L20" s="11">
        <f t="shared" si="2"/>
        <v>0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EFs!$B$3*44/12</f>
        <v>0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EFs!$E$3*44/28000</f>
        <v>0</v>
      </c>
      <c r="P20" s="7">
        <f>N20*'GWP CFs'!$B$3</f>
        <v>0</v>
      </c>
      <c r="Q20" s="18">
        <f>O20*'GWP CFs'!$B$4</f>
        <v>0</v>
      </c>
      <c r="R20" s="11">
        <f>M20+P20+Q20</f>
        <v>0</v>
      </c>
      <c r="S20" s="18">
        <f>AA20*EFs!$B$3*44/12</f>
        <v>0</v>
      </c>
      <c r="T20" s="18">
        <f>AA20*0.95*EFs!$C$3/1000</f>
        <v>0</v>
      </c>
      <c r="U20" s="11">
        <f>AA20*EFs!$E$3*44/28000</f>
        <v>0</v>
      </c>
      <c r="V20" s="18">
        <f>T20*'GWP CFs'!$B$3</f>
        <v>0</v>
      </c>
      <c r="W20" s="18">
        <f>U20*'GWP CFs'!$B$4</f>
        <v>0</v>
      </c>
      <c r="X20" s="11">
        <f>S20+V20+W20</f>
        <v>0</v>
      </c>
      <c r="Y20" s="14" t="str">
        <f>[30]Table4.B!$E$10</f>
        <v>NO</v>
      </c>
      <c r="Z20" s="25">
        <v>0</v>
      </c>
      <c r="AA20" s="39">
        <v>0</v>
      </c>
    </row>
    <row r="21" spans="1:27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0.05*EFs!$D$3/1000</f>
        <v>0</v>
      </c>
      <c r="O21" s="26">
        <v>0</v>
      </c>
      <c r="P21" s="7">
        <f>N21*'GWP CFs'!$B$3</f>
        <v>0</v>
      </c>
      <c r="Q21" s="25">
        <v>0</v>
      </c>
      <c r="R21" s="11">
        <f>M21+P21+Q21</f>
        <v>0</v>
      </c>
      <c r="S21" s="25">
        <v>0</v>
      </c>
      <c r="T21" s="18">
        <f>AA20*0.05*EFs!$D$3/1000</f>
        <v>0</v>
      </c>
      <c r="U21" s="42">
        <v>0</v>
      </c>
      <c r="V21" s="18">
        <f>T21*'GWP CFs'!$B$3</f>
        <v>0</v>
      </c>
      <c r="W21" s="25">
        <v>0</v>
      </c>
      <c r="X21" s="11">
        <f>V21</f>
        <v>0</v>
      </c>
      <c r="Y21" s="25">
        <v>0</v>
      </c>
      <c r="Z21" s="25">
        <v>0</v>
      </c>
      <c r="AA21" s="26">
        <v>0</v>
      </c>
    </row>
    <row r="22" spans="1:27" x14ac:dyDescent="0.35">
      <c r="A22" s="28" t="s">
        <v>7</v>
      </c>
      <c r="B22" s="29">
        <f>[30]Table4!$B$14</f>
        <v>-115.27536533333344</v>
      </c>
      <c r="C22" s="29" t="str">
        <f>[30]Summary1.As2!$C$22</f>
        <v>NO</v>
      </c>
      <c r="D22" s="29">
        <f>[30]Summary1.As2!$D$22</f>
        <v>1.0907977142900001E-3</v>
      </c>
      <c r="E22" s="30">
        <v>0</v>
      </c>
      <c r="F22" s="29" t="str">
        <f>[30]Summary2!$C$42</f>
        <v>NO</v>
      </c>
      <c r="G22" s="29">
        <f>[30]Summary2!$D$42</f>
        <v>0.32505771885842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-114.95030761447502</v>
      </c>
      <c r="I22" s="32">
        <f>[30]Summary2!$J$42</f>
        <v>-114.95030761447502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0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0.28906139428685002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-114.98630393904659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-155.42282800000001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0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1.0907977142900001E-3</v>
      </c>
      <c r="P22" s="31">
        <f>N22*'GWP CFs'!$B$3</f>
        <v>0</v>
      </c>
      <c r="Q22" s="31">
        <f>O22*'GWP CFs'!$B$4</f>
        <v>0.28906139428685002</v>
      </c>
      <c r="R22" s="33">
        <f>M22+P22+Q22</f>
        <v>-155.13376660571316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-155.42282800000001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0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1.0907977142900001E-3</v>
      </c>
      <c r="V22" s="31">
        <f>T22*'GWP CFs'!$B$3</f>
        <v>0</v>
      </c>
      <c r="W22" s="31">
        <f>U22*'GWP CFs'!$B$4</f>
        <v>0.28906139428685002</v>
      </c>
      <c r="X22" s="33">
        <f>S22+V22+W22</f>
        <v>-155.13376660571316</v>
      </c>
      <c r="Y22" s="29">
        <f>[30]Table4.C!$C$10</f>
        <v>851.68500000000006</v>
      </c>
      <c r="Z22" s="34">
        <v>0</v>
      </c>
      <c r="AA22" s="30">
        <v>0</v>
      </c>
    </row>
    <row r="23" spans="1:27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-155.42282800000001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1.0907977142900001E-3</v>
      </c>
      <c r="E23" s="9">
        <f>[30]Table4.C!$P$10</f>
        <v>42.388044000000001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0.32505771885842005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-155.09777028114158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0.28906139428685002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-155.13376660571316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[30]Table4.C!$D$10</f>
        <v>851.68500000000006</v>
      </c>
      <c r="Z23" s="25">
        <v>0</v>
      </c>
      <c r="AA23" s="26">
        <v>0</v>
      </c>
    </row>
    <row r="24" spans="1:27" x14ac:dyDescent="0.35">
      <c r="A24" s="22" t="s">
        <v>44</v>
      </c>
      <c r="B24" s="25">
        <v>0</v>
      </c>
      <c r="C24" s="25">
        <v>0</v>
      </c>
      <c r="D24" s="48">
        <f>'[30]Table4(III)'!$D$15</f>
        <v>1.0907977142900001E-3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0.32505771885842005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0.32505771885842005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0.28906139428685002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0.28906139428685002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>
        <f>'[30]Table4(III)'!$B$15</f>
        <v>1.4790000000000001</v>
      </c>
      <c r="Z24" s="25">
        <v>0</v>
      </c>
      <c r="AA24" s="26">
        <v>0</v>
      </c>
    </row>
    <row r="25" spans="1:27" x14ac:dyDescent="0.35">
      <c r="A25" s="6" t="s">
        <v>45</v>
      </c>
      <c r="B25" s="49" t="str">
        <f>'[30]Table4(II)'!$G$30</f>
        <v>NO</v>
      </c>
      <c r="C25" s="48" t="str">
        <f>'[30]Table4(II)'!$I$30</f>
        <v>NO</v>
      </c>
      <c r="D25" s="48" t="str">
        <f>'[30]Table4(II)'!$H$30</f>
        <v>NO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'[30]Table4(II)'!$C$30</f>
        <v>NO</v>
      </c>
      <c r="Z25" s="25">
        <v>0</v>
      </c>
      <c r="AA25" s="26">
        <v>0</v>
      </c>
    </row>
    <row r="26" spans="1:27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0</v>
      </c>
      <c r="C26" s="48" t="str">
        <f>'[30]Table4(II)'!$I$26</f>
        <v>NO</v>
      </c>
      <c r="D26" s="25">
        <v>0</v>
      </c>
      <c r="E26" s="9" t="str">
        <f>[30]Table4.C!$Q$10</f>
        <v>NO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0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0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0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0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$5*44/12</f>
        <v>0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$5/1000</f>
        <v>0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$5*44/28000</f>
        <v>0</v>
      </c>
      <c r="P26" s="7">
        <f>N26*'GWP CFs'!$B$3</f>
        <v>0</v>
      </c>
      <c r="Q26" s="7">
        <f>O26*'GWP CFs'!$B$4</f>
        <v>0</v>
      </c>
      <c r="R26" s="11">
        <f>M26+P26+Q26</f>
        <v>0</v>
      </c>
      <c r="S26" s="18">
        <f>AA26*EFs!$B$5*44/12</f>
        <v>0</v>
      </c>
      <c r="T26" s="18">
        <f>AA26*0.95*EFs!$C$5/1000</f>
        <v>0</v>
      </c>
      <c r="U26" s="11">
        <f>AA26*EFs!$E$5*44/28000</f>
        <v>0</v>
      </c>
      <c r="V26" s="18">
        <f>T26*'GWP CFs'!$B$3</f>
        <v>0</v>
      </c>
      <c r="W26" s="18">
        <f>U26*'GWP CFs'!$B$4</f>
        <v>0</v>
      </c>
      <c r="X26" s="11">
        <f>S26+V26+W26</f>
        <v>0</v>
      </c>
      <c r="Y26" s="14" t="str">
        <f>[30]Table4.C!$E$10</f>
        <v>NO</v>
      </c>
      <c r="Z26" s="25">
        <v>0</v>
      </c>
      <c r="AA26" s="39">
        <v>0</v>
      </c>
    </row>
    <row r="27" spans="1:27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$5/1000</f>
        <v>0</v>
      </c>
      <c r="O27" s="10">
        <v>0</v>
      </c>
      <c r="P27" s="7">
        <f>N27*'GWP CFs'!$B$3</f>
        <v>0</v>
      </c>
      <c r="Q27" s="21">
        <v>0</v>
      </c>
      <c r="R27" s="11">
        <f>P27</f>
        <v>0</v>
      </c>
      <c r="S27" s="25">
        <v>0</v>
      </c>
      <c r="T27" s="18">
        <f>AA26*0.05*EFs!$D$5/1000</f>
        <v>0</v>
      </c>
      <c r="U27" s="26">
        <v>0</v>
      </c>
      <c r="V27" s="18">
        <f>T27*'GWP CFs'!$B$3</f>
        <v>0</v>
      </c>
      <c r="W27" s="25">
        <v>0</v>
      </c>
      <c r="X27" s="11">
        <f>V27</f>
        <v>0</v>
      </c>
      <c r="Y27" s="25">
        <v>0</v>
      </c>
      <c r="Z27" s="25">
        <v>0</v>
      </c>
      <c r="AA27" s="26">
        <v>0</v>
      </c>
    </row>
    <row r="28" spans="1:27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299.80499999999995</v>
      </c>
      <c r="T28" s="31">
        <f>T29+T30</f>
        <v>0.71673750000000003</v>
      </c>
      <c r="U28" s="33">
        <f>U29</f>
        <v>0.17981071428571427</v>
      </c>
      <c r="V28" s="31">
        <f>V29+V30</f>
        <v>20.068650000000002</v>
      </c>
      <c r="W28" s="31">
        <f>W29</f>
        <v>47.649839285714279</v>
      </c>
      <c r="X28" s="33">
        <f>X29+X30</f>
        <v>367.52348928571422</v>
      </c>
      <c r="Y28" s="34">
        <v>0</v>
      </c>
      <c r="Z28" s="34">
        <v>0</v>
      </c>
      <c r="AA28" s="30">
        <v>0</v>
      </c>
    </row>
    <row r="29" spans="1:27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299.80499999999995</v>
      </c>
      <c r="T29" s="18">
        <f>AA29*0.95*EFs!$C$9/1000</f>
        <v>9.2862500000000001E-2</v>
      </c>
      <c r="U29" s="11">
        <f>AA29*EFs!$E$9*44/28000</f>
        <v>0.17981071428571427</v>
      </c>
      <c r="V29" s="18">
        <f>T29*'GWP CFs'!$B$3</f>
        <v>2.6001500000000002</v>
      </c>
      <c r="W29" s="18">
        <f>U29*'GWP CFs'!$B$4</f>
        <v>47.649839285714279</v>
      </c>
      <c r="X29" s="11">
        <f>S29+V29+W29</f>
        <v>350.05498928571421</v>
      </c>
      <c r="Y29" s="25">
        <v>0</v>
      </c>
      <c r="Z29" s="25">
        <v>0</v>
      </c>
      <c r="AA29" s="39">
        <v>11.5</v>
      </c>
    </row>
    <row r="30" spans="1:27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0.62387500000000007</v>
      </c>
      <c r="U30" s="42">
        <v>0</v>
      </c>
      <c r="V30" s="44">
        <f>T30*'GWP CFs'!$B$3</f>
        <v>17.468500000000002</v>
      </c>
      <c r="W30" s="90">
        <v>0</v>
      </c>
      <c r="X30" s="46">
        <f>V30</f>
        <v>17.468500000000002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zoomScale="60" zoomScaleNormal="60" workbookViewId="0">
      <selection activeCell="A30" sqref="A30:AA30"/>
    </sheetView>
  </sheetViews>
  <sheetFormatPr baseColWidth="10" defaultRowHeight="14.5" x14ac:dyDescent="0.35"/>
  <cols>
    <col min="1" max="1" width="47.453125" customWidth="1"/>
  </cols>
  <sheetData>
    <row r="1" spans="1:27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88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[31]Summary1.As1!$B$7</f>
        <v>14701.122339392403</v>
      </c>
      <c r="C3" s="8">
        <f>[31]Summary1.As1!$C$7</f>
        <v>77.449409345808434</v>
      </c>
      <c r="D3" s="14">
        <f>[31]Summary1.As1!$D$7</f>
        <v>2.6284224785453598</v>
      </c>
      <c r="E3" s="26">
        <v>0</v>
      </c>
      <c r="F3" s="8">
        <f>[31]Summary2!C7</f>
        <v>1936.2352336452111</v>
      </c>
      <c r="G3" s="8">
        <f>[31]Summary2!D7</f>
        <v>783.26989860651724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17420.627471644133</v>
      </c>
      <c r="I3" s="9">
        <f>[31]Summary2!$J$7</f>
        <v>17745.281429136656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2168.583461682636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696.5319568145203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17566.237757889561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[31]Summary1.As2!$B$8</f>
        <v>22.060288079996489</v>
      </c>
      <c r="C4" s="29">
        <f>[31]Summary1.As2!$C$8</f>
        <v>47.203482327086242</v>
      </c>
      <c r="D4" s="29">
        <f>[31]Summary1.As2!$D$8</f>
        <v>1.74350470430529</v>
      </c>
      <c r="E4" s="30">
        <v>0</v>
      </c>
      <c r="F4" s="29">
        <f>[31]Summary2!$C$28</f>
        <v>1180.087058177156</v>
      </c>
      <c r="G4" s="29">
        <f>[31]Summary2!$D$28</f>
        <v>519.56440188297643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1721.711748140129</v>
      </c>
      <c r="I4" s="32">
        <f>[31]Summary2!$J$28</f>
        <v>1721.711748140129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1321.6975051584147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462.02874664090189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1805.7865398793133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41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[31]Summary1.As2!$C$9</f>
        <v>37.09795211119215</v>
      </c>
      <c r="D5" s="21">
        <v>0</v>
      </c>
      <c r="E5" s="26">
        <v>0</v>
      </c>
      <c r="F5" s="8">
        <f>[31]Summary2!$C$29</f>
        <v>927.44880277980371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927.44880277980371</v>
      </c>
      <c r="I5" s="14">
        <f>[31]Summary2!$J$29</f>
        <v>927.44880277980371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1038.7426591133801</v>
      </c>
      <c r="K5" s="25">
        <v>0</v>
      </c>
      <c r="L5" s="11">
        <f t="shared" si="0"/>
        <v>1038.7426591133801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41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[31]Summary1.As2!$C$10</f>
        <v>10.10553021589409</v>
      </c>
      <c r="D6" s="14">
        <f>[31]Summary1.As2!$D$10</f>
        <v>0.27285728795602998</v>
      </c>
      <c r="E6" s="26">
        <v>0</v>
      </c>
      <c r="F6" s="8">
        <f>[31]Summary2!C30</f>
        <v>252.63825539735225</v>
      </c>
      <c r="G6" s="14">
        <f>[31]Summary2!D30</f>
        <v>81.311471810896947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333.94972720824921</v>
      </c>
      <c r="I6" s="14">
        <f>[31]Summary2!$J$30</f>
        <v>333.94972720824921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282.95484604503451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72.30718130834795</v>
      </c>
      <c r="L6" s="11">
        <f t="shared" si="0"/>
        <v>355.26202735338245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41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 t="str">
        <f>[31]Table3s2!$C$7</f>
        <v>NO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0</v>
      </c>
      <c r="G7" s="25">
        <v>0</v>
      </c>
      <c r="H7" s="7">
        <f t="shared" si="1"/>
        <v>0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0</v>
      </c>
      <c r="K7" s="25">
        <v>0</v>
      </c>
      <c r="L7" s="11">
        <f t="shared" si="0"/>
        <v>0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41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[31]Summary1.As2!$C$12</f>
        <v>NO</v>
      </c>
      <c r="D8" s="14">
        <f>[31]Summary1.As2!$D$12</f>
        <v>1.47064741634926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[31]Summary2!$D$32</f>
        <v>438.25293007207949</v>
      </c>
      <c r="H8" s="7">
        <f t="shared" si="1"/>
        <v>438.25293007207949</v>
      </c>
      <c r="I8" s="9">
        <f>[31]Summary2!$J$32</f>
        <v>438.25293007207949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389.72156533255389</v>
      </c>
      <c r="L8" s="11">
        <f t="shared" si="0"/>
        <v>389.72156533255389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41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>
        <f>[31]Table3.D!$E$17</f>
        <v>3.1289499999999998E-2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9.3242709999999995</v>
      </c>
      <c r="H9" s="7">
        <f t="shared" si="1"/>
        <v>9.3242709999999995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8.291717499999999</v>
      </c>
      <c r="L9" s="11">
        <f t="shared" si="0"/>
        <v>8.291717499999999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7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2.4889375</v>
      </c>
      <c r="Z9" s="14">
        <f>[31]Table3.D!$C$17</f>
        <v>2488.9375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[31]Table3s2!C9</f>
        <v>NO</v>
      </c>
      <c r="D10" s="14" t="str">
        <f>[31]Table3s2!D9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41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 t="str">
        <f>[31]Table3s2!C10</f>
        <v>NO</v>
      </c>
      <c r="D11" s="14" t="str">
        <f>[31]Table3s2!D10</f>
        <v>NO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0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0</v>
      </c>
      <c r="H11" s="7">
        <f t="shared" si="1"/>
        <v>0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0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0</v>
      </c>
      <c r="L11" s="11">
        <f t="shared" si="0"/>
        <v>0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41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>
        <f>[31]Table3s2!B11</f>
        <v>11.544288079996489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11.544288079996489</v>
      </c>
      <c r="I12" s="26">
        <v>0</v>
      </c>
      <c r="J12" s="25">
        <v>0</v>
      </c>
      <c r="K12" s="25">
        <v>0</v>
      </c>
      <c r="L12" s="11">
        <f t="shared" si="0"/>
        <v>11.544288079996489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41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>
        <f>[31]Table3s2!B12</f>
        <v>10.516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10.516</v>
      </c>
      <c r="I13" s="26">
        <v>0</v>
      </c>
      <c r="J13" s="25">
        <v>0</v>
      </c>
      <c r="K13" s="25">
        <v>0</v>
      </c>
      <c r="L13" s="11">
        <f t="shared" si="0"/>
        <v>10.516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41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 t="str">
        <f>[31]Table3s2!B13</f>
        <v>NO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41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[31]Table3s2!B14</f>
        <v>NO</v>
      </c>
      <c r="C15" s="14" t="str">
        <f>[31]Table3s2!C14</f>
        <v>NO</v>
      </c>
      <c r="D15" s="14" t="str">
        <f>[31]Table3s2!D14</f>
        <v>NO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89">
        <v>0</v>
      </c>
      <c r="Z15" s="90">
        <v>0</v>
      </c>
      <c r="AA15" s="42">
        <v>0</v>
      </c>
    </row>
    <row r="16" spans="1:27" x14ac:dyDescent="0.35">
      <c r="A16" s="28" t="s">
        <v>8</v>
      </c>
      <c r="B16" s="29">
        <f>[31]Table4!$B$11</f>
        <v>-143.12370290025802</v>
      </c>
      <c r="C16" s="29" t="str">
        <f>[31]Summary1.As2!$C$21</f>
        <v>NO</v>
      </c>
      <c r="D16" s="29">
        <f>[31]Summary1.As2!$D$21</f>
        <v>1.3485532043539999E-2</v>
      </c>
      <c r="E16" s="30">
        <v>0</v>
      </c>
      <c r="F16" s="29" t="str">
        <f>[31]Summary2!$C$41</f>
        <v>NO</v>
      </c>
      <c r="G16" s="29">
        <f>[31]Summary2!$D$41</f>
        <v>4.0186885489749198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-139.1050143512831</v>
      </c>
      <c r="I16" s="32">
        <f>[31]Summary2!$J$41</f>
        <v>-139.1050143512831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0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3.5736659915380997</v>
      </c>
      <c r="L16" s="11">
        <f t="shared" si="2"/>
        <v>-139.55003690871993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115.78119597785712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0.14498060937500001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6.4330969543539993E-2</v>
      </c>
      <c r="P16" s="31">
        <f>N16*'GWP CFs'!$B$3</f>
        <v>4.0594570624999999</v>
      </c>
      <c r="Q16" s="31">
        <f>O16*'GWP CFs'!$B$4</f>
        <v>17.0477069290381</v>
      </c>
      <c r="R16" s="33">
        <f>M16+P16+Q16</f>
        <v>136.88835996939522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115.7812110295238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0.14498063850000004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6.4330979757825715E-2</v>
      </c>
      <c r="V16" s="31">
        <f>T16*'GWP CFs'!$B$3</f>
        <v>4.0594578780000008</v>
      </c>
      <c r="W16" s="31">
        <f>U16*'GWP CFs'!$B$4</f>
        <v>17.047709635823814</v>
      </c>
      <c r="X16" s="33">
        <f>S16+V16+W16</f>
        <v>136.88837854334761</v>
      </c>
      <c r="Y16" s="29">
        <f>[31]Table4.B!$C$10</f>
        <v>245.8</v>
      </c>
      <c r="Z16" s="34">
        <v>0</v>
      </c>
      <c r="AA16" s="30">
        <v>0</v>
      </c>
    </row>
    <row r="17" spans="1:29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40.855880769523786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1.3485532043539999E-2</v>
      </c>
      <c r="E17" s="9">
        <f>[31]Table4.B!$P$10</f>
        <v>-11.14251293714285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4.0186885489749198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44.874569318498708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3.5736659915380997</v>
      </c>
      <c r="L17" s="11">
        <f t="shared" si="2"/>
        <v>44.429546761061886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[31]Table4.B!$D$10</f>
        <v>243.31106249999999</v>
      </c>
      <c r="Z17" s="25">
        <v>0</v>
      </c>
      <c r="AA17" s="26">
        <v>0</v>
      </c>
    </row>
    <row r="18" spans="1:29" x14ac:dyDescent="0.35">
      <c r="A18" s="22" t="s">
        <v>44</v>
      </c>
      <c r="B18" s="12">
        <v>0</v>
      </c>
      <c r="C18" s="21">
        <v>0</v>
      </c>
      <c r="D18" s="48">
        <f>'[31]Table4(III)'!$D$13</f>
        <v>1.3485532043539999E-2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4.0186885489749198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4.0186885489749198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3.5736659915380997</v>
      </c>
      <c r="L18" s="11">
        <f t="shared" si="2"/>
        <v>3.5736659915380997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'[31]Table4(III)'!$B$13</f>
        <v>23.553257142857142</v>
      </c>
      <c r="Z18" s="25">
        <v>0</v>
      </c>
      <c r="AA18" s="26">
        <v>0</v>
      </c>
    </row>
    <row r="19" spans="1:29" x14ac:dyDescent="0.35">
      <c r="A19" s="6" t="s">
        <v>45</v>
      </c>
      <c r="B19" s="49" t="str">
        <f>'[31]Table4(II)'!$G$22</f>
        <v>NO</v>
      </c>
      <c r="C19" s="48" t="str">
        <f>'[31]Table4(II)'!$I$22</f>
        <v>NO</v>
      </c>
      <c r="D19" s="48" t="str">
        <f>'[31]Table4(II)'!$H$22</f>
        <v>NO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'[31]Table4(II)'!$C$22</f>
        <v>NO</v>
      </c>
      <c r="Z19" s="25">
        <v>0</v>
      </c>
      <c r="AA19" s="26">
        <v>0</v>
      </c>
    </row>
    <row r="20" spans="1:29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91.261041666666671</v>
      </c>
      <c r="C20" s="14" t="str">
        <f>'[31]Table4(II)'!$I$18</f>
        <v>NO</v>
      </c>
      <c r="D20" s="25">
        <v>0</v>
      </c>
      <c r="E20" s="9">
        <f>[31]Table4.B!$Q$10</f>
        <v>-24.889375000000001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0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91.261041666666671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0</v>
      </c>
      <c r="K20" s="25">
        <v>0</v>
      </c>
      <c r="L20" s="11">
        <f t="shared" si="2"/>
        <v>91.261041666666671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EFs!$B$3*44/12</f>
        <v>74.925315208333345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EFs!$E$3*44/28000</f>
        <v>5.0845437499999993E-2</v>
      </c>
      <c r="P20" s="7">
        <f>N20*'GWP CFs'!$B$3</f>
        <v>0</v>
      </c>
      <c r="Q20" s="18">
        <f>O20*'GWP CFs'!$B$4</f>
        <v>13.474040937499998</v>
      </c>
      <c r="R20" s="11">
        <f>M20+P20+Q20</f>
        <v>88.399356145833337</v>
      </c>
      <c r="S20" s="18">
        <f>AA20*EFs!$B$3*44/12</f>
        <v>74.925330260000024</v>
      </c>
      <c r="T20" s="18">
        <f>AA20*0.95*EFs!$C$3/1000</f>
        <v>0</v>
      </c>
      <c r="U20" s="11">
        <f>AA20*EFs!$E$3*44/28000</f>
        <v>5.0845447714285716E-2</v>
      </c>
      <c r="V20" s="18">
        <f>T20*'GWP CFs'!$B$3</f>
        <v>0</v>
      </c>
      <c r="W20" s="18">
        <f>U20*'GWP CFs'!$B$4</f>
        <v>13.474043644285715</v>
      </c>
      <c r="X20" s="11">
        <f>S20+V20+W20</f>
        <v>88.399373904285738</v>
      </c>
      <c r="Y20" s="14">
        <f>[31]Table4.B!$E$10</f>
        <v>2.4889375</v>
      </c>
      <c r="Z20" s="25">
        <v>0</v>
      </c>
      <c r="AA20" s="39">
        <v>2.4889380000000001</v>
      </c>
    </row>
    <row r="21" spans="1:29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IF(Y20="IE,NE","0",Y20)))))))))))))))))))))))*0.05*EFs!$D$3/1000</f>
        <v>0.14498060937500001</v>
      </c>
      <c r="O21" s="26">
        <v>0</v>
      </c>
      <c r="P21" s="7">
        <f>N21*'GWP CFs'!$B$3</f>
        <v>4.0594570624999999</v>
      </c>
      <c r="Q21" s="25">
        <v>0</v>
      </c>
      <c r="R21" s="11">
        <f>M21+P21+Q21</f>
        <v>4.0594570624999999</v>
      </c>
      <c r="S21" s="25">
        <v>0</v>
      </c>
      <c r="T21" s="18">
        <f>AA20*0.05*EFs!$D$3/1000</f>
        <v>0.14498063850000004</v>
      </c>
      <c r="U21" s="42">
        <v>0</v>
      </c>
      <c r="V21" s="18">
        <f>T21*'GWP CFs'!$B$3</f>
        <v>4.0594578780000008</v>
      </c>
      <c r="W21" s="25">
        <v>0</v>
      </c>
      <c r="X21" s="11">
        <f>V21</f>
        <v>4.0594578780000008</v>
      </c>
      <c r="Y21" s="25">
        <v>0</v>
      </c>
      <c r="Z21" s="25">
        <v>0</v>
      </c>
      <c r="AA21" s="26">
        <v>0</v>
      </c>
    </row>
    <row r="22" spans="1:29" x14ac:dyDescent="0.35">
      <c r="A22" s="28" t="s">
        <v>7</v>
      </c>
      <c r="B22" s="29">
        <f>[31]Table4!$B$14</f>
        <v>-398.16453949447708</v>
      </c>
      <c r="C22" s="29" t="str">
        <f>[31]Summary1.As2!$C$22</f>
        <v>NO</v>
      </c>
      <c r="D22" s="29">
        <f>[31]Summary1.As2!$D$22</f>
        <v>3.9332722449000003E-3</v>
      </c>
      <c r="E22" s="30">
        <v>0</v>
      </c>
      <c r="F22" s="29" t="str">
        <f>[31]Summary2!$C$42</f>
        <v>NO</v>
      </c>
      <c r="G22" s="29">
        <f>[31]Summary2!$D$42</f>
        <v>1.1721151289802001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-396.9924243654969</v>
      </c>
      <c r="I22" s="32">
        <f>[31]Summary2!$J$42</f>
        <v>-396.99242436549684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0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1.0423171448985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-397.12222234957858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-115.38092041643488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7.2738531250000016E-2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1.5793324923471432E-2</v>
      </c>
      <c r="P22" s="31">
        <f>N22*'GWP CFs'!$B$3</f>
        <v>2.0366788750000007</v>
      </c>
      <c r="Q22" s="31">
        <f>O22*'GWP CFs'!$B$4</f>
        <v>4.1852311047199295</v>
      </c>
      <c r="R22" s="33">
        <f>M22+P22+Q22</f>
        <v>-109.15901043671494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-115.38090939810155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7.2738564500000005E-2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1.5793330344899999E-2</v>
      </c>
      <c r="V22" s="31">
        <f>T22*'GWP CFs'!$B$3</f>
        <v>2.036679806</v>
      </c>
      <c r="W22" s="31">
        <f>U22*'GWP CFs'!$B$4</f>
        <v>4.1852325413984994</v>
      </c>
      <c r="X22" s="33">
        <f>S22+V22+W22</f>
        <v>-109.15899705070305</v>
      </c>
      <c r="Y22" s="29">
        <f>[31]Table4.C!$C$10</f>
        <v>410.62000000000006</v>
      </c>
      <c r="Z22" s="34">
        <v>0</v>
      </c>
      <c r="AA22" s="30">
        <v>0</v>
      </c>
    </row>
    <row r="23" spans="1:29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-139.48490187476821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3.9332722449000003E-3</v>
      </c>
      <c r="E23" s="9">
        <f>[31]Table4.C!$P$10</f>
        <v>38.041336874936789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1.1721151289802001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-138.312786745788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1.0423171448985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-138.44258472986971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[31]Table4.C!$D$10</f>
        <v>409.52618750000005</v>
      </c>
      <c r="Z23" s="25">
        <v>0</v>
      </c>
      <c r="AA23" s="26">
        <v>0</v>
      </c>
    </row>
    <row r="24" spans="1:29" x14ac:dyDescent="0.35">
      <c r="A24" s="22" t="s">
        <v>44</v>
      </c>
      <c r="B24" s="25">
        <v>0</v>
      </c>
      <c r="C24" s="25">
        <v>0</v>
      </c>
      <c r="D24" s="48">
        <f>'[31]Table4(III)'!$D$17</f>
        <v>3.9332722449000003E-3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1.1721151289802001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1.1721151289802001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1.0423171448985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1.0423171448985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>
        <f>'[31]Table4(III)'!$B$17</f>
        <v>15.587428571428569</v>
      </c>
      <c r="Z24" s="25">
        <v>0</v>
      </c>
      <c r="AA24" s="26">
        <v>0</v>
      </c>
      <c r="AC24" s="82"/>
    </row>
    <row r="25" spans="1:29" x14ac:dyDescent="0.35">
      <c r="A25" s="6" t="s">
        <v>45</v>
      </c>
      <c r="B25" s="49" t="str">
        <f>'[31]Table4(II)'!$G$30</f>
        <v>NO</v>
      </c>
      <c r="C25" s="48" t="str">
        <f>'[31]Table4(II)'!$I$30</f>
        <v>NO</v>
      </c>
      <c r="D25" s="48" t="str">
        <f>'[31]Table4(II)'!$H$30</f>
        <v>NO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'[31]Table4(II)'!$C$30</f>
        <v>NO</v>
      </c>
      <c r="Z25" s="25">
        <v>0</v>
      </c>
      <c r="AA25" s="26">
        <v>0</v>
      </c>
    </row>
    <row r="26" spans="1:29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0</v>
      </c>
      <c r="C26" s="48" t="str">
        <f>'[31]Table4(II)'!$I$26</f>
        <v>NO</v>
      </c>
      <c r="D26" s="25">
        <v>0</v>
      </c>
      <c r="E26" s="9" t="str">
        <f>[31]Table4.C!$Q$10</f>
        <v>NO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0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0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0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0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$5*44/12</f>
        <v>24.103981458333333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$5/1000</f>
        <v>1.7665071875E-2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$5*44/28000</f>
        <v>1.1860052678571431E-2</v>
      </c>
      <c r="P26" s="7">
        <f>N26*'GWP CFs'!$B$3</f>
        <v>0.49462201250000004</v>
      </c>
      <c r="Q26" s="7">
        <f>O26*'GWP CFs'!$B$4</f>
        <v>3.1429139598214291</v>
      </c>
      <c r="R26" s="11">
        <f>M26+P26+Q26</f>
        <v>27.74151743065476</v>
      </c>
      <c r="S26" s="18">
        <f>AA26*EFs!$B$5*44/12</f>
        <v>24.103992476666662</v>
      </c>
      <c r="T26" s="18">
        <f>AA26*0.95*EFs!$C$5/1000</f>
        <v>1.7665079949999999E-2</v>
      </c>
      <c r="U26" s="11">
        <f>AA26*EFs!$E$5*44/28000</f>
        <v>1.1860058099999999E-2</v>
      </c>
      <c r="V26" s="18">
        <f>T26*'GWP CFs'!$B$3</f>
        <v>0.49462223859999999</v>
      </c>
      <c r="W26" s="18">
        <f>U26*'GWP CFs'!$B$4</f>
        <v>3.1429153964999998</v>
      </c>
      <c r="X26" s="11">
        <f>S26+V26+W26</f>
        <v>27.741530111766664</v>
      </c>
      <c r="Y26" s="14">
        <f>[31]Table4.C!$E$10</f>
        <v>1.0938125000000001</v>
      </c>
      <c r="Z26" s="25">
        <v>0</v>
      </c>
      <c r="AA26" s="39">
        <v>1.0938129999999999</v>
      </c>
    </row>
    <row r="27" spans="1:29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$5/1000</f>
        <v>5.5073459375000008E-2</v>
      </c>
      <c r="O27" s="10">
        <v>0</v>
      </c>
      <c r="P27" s="7">
        <f>N27*'GWP CFs'!$B$3</f>
        <v>1.5420568625000002</v>
      </c>
      <c r="Q27" s="21">
        <v>0</v>
      </c>
      <c r="R27" s="11">
        <f>P27</f>
        <v>1.5420568625000002</v>
      </c>
      <c r="S27" s="25">
        <v>0</v>
      </c>
      <c r="T27" s="18">
        <f>AA26*0.05*EFs!$D$5/1000</f>
        <v>5.5073484550000003E-2</v>
      </c>
      <c r="U27" s="26">
        <v>0</v>
      </c>
      <c r="V27" s="18">
        <f>T27*'GWP CFs'!$B$3</f>
        <v>1.5420575674000001</v>
      </c>
      <c r="W27" s="25">
        <v>0</v>
      </c>
      <c r="X27" s="11">
        <f>V27</f>
        <v>1.5420575674000001</v>
      </c>
      <c r="Y27" s="25">
        <v>0</v>
      </c>
      <c r="Z27" s="25">
        <v>0</v>
      </c>
      <c r="AA27" s="26">
        <v>0</v>
      </c>
      <c r="AC27" s="82"/>
    </row>
    <row r="28" spans="1:29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139.21379999999999</v>
      </c>
      <c r="T28" s="31">
        <f>T29+T30</f>
        <v>0.33281549999999999</v>
      </c>
      <c r="U28" s="33">
        <f>U29</f>
        <v>8.3494714285714283E-2</v>
      </c>
      <c r="V28" s="31">
        <f>V29+V30</f>
        <v>9.318833999999999</v>
      </c>
      <c r="W28" s="31">
        <f>W29</f>
        <v>22.126099285714286</v>
      </c>
      <c r="X28" s="33">
        <f>X29+X30</f>
        <v>170.65873328571425</v>
      </c>
      <c r="Y28" s="34">
        <v>0</v>
      </c>
      <c r="Z28" s="34">
        <v>0</v>
      </c>
      <c r="AA28" s="30">
        <v>0</v>
      </c>
    </row>
    <row r="29" spans="1:29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139.21379999999999</v>
      </c>
      <c r="T29" s="18">
        <f>AA29*0.95*EFs!$C$9/1000</f>
        <v>4.3120499999999992E-2</v>
      </c>
      <c r="U29" s="11">
        <f>AA29*EFs!$E$9*44/28000</f>
        <v>8.3494714285714283E-2</v>
      </c>
      <c r="V29" s="18">
        <f>T29*'GWP CFs'!$B$3</f>
        <v>1.2073739999999997</v>
      </c>
      <c r="W29" s="18">
        <f>U29*'GWP CFs'!$B$4</f>
        <v>22.126099285714286</v>
      </c>
      <c r="X29" s="11">
        <f>S29+V29+W29</f>
        <v>162.54727328571425</v>
      </c>
      <c r="Y29" s="25">
        <v>0</v>
      </c>
      <c r="Z29" s="25">
        <v>0</v>
      </c>
      <c r="AA29" s="39">
        <v>5.34</v>
      </c>
    </row>
    <row r="30" spans="1:29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0.28969499999999998</v>
      </c>
      <c r="U30" s="42">
        <v>0</v>
      </c>
      <c r="V30" s="44">
        <f>T30*'GWP CFs'!$B$3</f>
        <v>8.1114599999999992</v>
      </c>
      <c r="W30" s="90">
        <v>0</v>
      </c>
      <c r="X30" s="46">
        <f>V30</f>
        <v>8.1114599999999992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zoomScale="60" zoomScaleNormal="60" workbookViewId="0">
      <selection activeCell="G42" sqref="G42"/>
    </sheetView>
  </sheetViews>
  <sheetFormatPr baseColWidth="10" defaultRowHeight="14.5" x14ac:dyDescent="0.35"/>
  <cols>
    <col min="1" max="1" width="47.453125" customWidth="1"/>
  </cols>
  <sheetData>
    <row r="1" spans="1:27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88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[32]Summary1.As1!$B$7</f>
        <v>-1974.2945443399553</v>
      </c>
      <c r="C3" s="8">
        <f>[32]Summary1.As1!$C$7</f>
        <v>195.00710765924029</v>
      </c>
      <c r="D3" s="14">
        <f>[32]Summary1.As1!$D$7</f>
        <v>19.313834705945951</v>
      </c>
      <c r="E3" s="26">
        <v>0</v>
      </c>
      <c r="F3" s="8">
        <f>[32]Summary2!C7</f>
        <v>4875.1776914810071</v>
      </c>
      <c r="G3" s="8">
        <f>[32]Summary2!D7</f>
        <v>5755.5227423718934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8656.4058895129456</v>
      </c>
      <c r="I3" s="9">
        <f>[32]Summary2!$J$7</f>
        <v>9785.2751621657953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5460.199014458728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5118.1661970756768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8604.0706671944499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[32]Summary1.As2!$B$8</f>
        <v>128.5488344927536</v>
      </c>
      <c r="C4" s="29">
        <f>[32]Summary1.As2!$C$8</f>
        <v>130.79444140592133</v>
      </c>
      <c r="D4" s="29">
        <f>[32]Summary1.As2!$D$8</f>
        <v>11.38174343121538</v>
      </c>
      <c r="E4" s="30">
        <v>0</v>
      </c>
      <c r="F4" s="29">
        <f>[32]Summary2!$C$28</f>
        <v>3269.8610351480334</v>
      </c>
      <c r="G4" s="29">
        <f>[32]Summary2!$D$28</f>
        <v>3391.7595425021832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6790.16941214297</v>
      </c>
      <c r="I4" s="32">
        <f>[32]Summary2!$J$28</f>
        <v>6790.16941214297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3662.2443593657972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3016.1620092720759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6806.9552031306266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41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[32]Summary1.As2!$C$9</f>
        <v>120.27222518438499</v>
      </c>
      <c r="D5" s="21">
        <v>0</v>
      </c>
      <c r="E5" s="26">
        <v>0</v>
      </c>
      <c r="F5" s="8">
        <f>[32]Summary2!$C$29</f>
        <v>3006.8056296096252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3006.8056296096252</v>
      </c>
      <c r="I5" s="14">
        <f>[32]Summary2!$J$29</f>
        <v>3006.8056296096252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3367.6223051627799</v>
      </c>
      <c r="K5" s="25">
        <v>0</v>
      </c>
      <c r="L5" s="11">
        <f t="shared" si="0"/>
        <v>3367.6223051627799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41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[32]Summary1.As2!$C$10</f>
        <v>10.52221622153634</v>
      </c>
      <c r="D6" s="14">
        <f>[32]Summary1.As2!$D$10</f>
        <v>1.11752563002787</v>
      </c>
      <c r="E6" s="26">
        <v>0</v>
      </c>
      <c r="F6" s="8">
        <f>[32]Summary2!C30</f>
        <v>263.05540553840848</v>
      </c>
      <c r="G6" s="14">
        <f>[32]Summary2!D30</f>
        <v>333.02263774830527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596.07804328671375</v>
      </c>
      <c r="I6" s="14">
        <f>[32]Summary2!$J$30</f>
        <v>596.07804328671375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294.62205420301751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296.14429195738552</v>
      </c>
      <c r="L6" s="11">
        <f t="shared" si="0"/>
        <v>590.76634616040303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41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 t="str">
        <f>[32]Table3s2!$C$7</f>
        <v>NO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0</v>
      </c>
      <c r="G7" s="25">
        <v>0</v>
      </c>
      <c r="H7" s="7">
        <f t="shared" si="1"/>
        <v>0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0</v>
      </c>
      <c r="K7" s="25">
        <v>0</v>
      </c>
      <c r="L7" s="11">
        <f t="shared" si="0"/>
        <v>0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41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[32]Summary1.As2!$C$12</f>
        <v>NO</v>
      </c>
      <c r="D8" s="14">
        <f>[32]Summary1.As2!$D$12</f>
        <v>10.26421780118751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[32]Summary2!$D$32</f>
        <v>3058.7369047538782</v>
      </c>
      <c r="H8" s="7">
        <f t="shared" si="1"/>
        <v>3058.7369047538782</v>
      </c>
      <c r="I8" s="9">
        <f>[32]Summary2!$J$32</f>
        <v>3058.7369047538782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2720.0177173146899</v>
      </c>
      <c r="L8" s="11">
        <f t="shared" si="0"/>
        <v>2720.0177173146899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41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>
        <f>[32]Table3.D!$E$17</f>
        <v>2.77812228571428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827.88044114285549</v>
      </c>
      <c r="H9" s="7">
        <f t="shared" si="1"/>
        <v>827.88044114285549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736.20240571428417</v>
      </c>
      <c r="L9" s="11">
        <f t="shared" si="0"/>
        <v>736.20240571428417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7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135.99199999999999</v>
      </c>
      <c r="Z9" s="14">
        <f>[32]Table3.D!$C$17</f>
        <v>135992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[32]Table3s2!C9</f>
        <v>NO</v>
      </c>
      <c r="D10" s="14" t="str">
        <f>[32]Table3s2!D9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41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 t="str">
        <f>[32]Table3s2!C10</f>
        <v>NO</v>
      </c>
      <c r="D11" s="14" t="str">
        <f>[32]Table3s2!D10</f>
        <v>NO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0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0</v>
      </c>
      <c r="H11" s="7">
        <f t="shared" si="1"/>
        <v>0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0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0</v>
      </c>
      <c r="L11" s="11">
        <f t="shared" si="0"/>
        <v>0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41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>
        <f>[32]Table3s2!B11</f>
        <v>126.70115333333329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126.70115333333329</v>
      </c>
      <c r="I12" s="26">
        <v>0</v>
      </c>
      <c r="J12" s="25">
        <v>0</v>
      </c>
      <c r="K12" s="25">
        <v>0</v>
      </c>
      <c r="L12" s="11">
        <f t="shared" si="0"/>
        <v>126.70115333333329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41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>
        <f>[32]Table3s2!B12</f>
        <v>1.84768115942029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1.84768115942029</v>
      </c>
      <c r="I13" s="26">
        <v>0</v>
      </c>
      <c r="J13" s="25">
        <v>0</v>
      </c>
      <c r="K13" s="25">
        <v>0</v>
      </c>
      <c r="L13" s="11">
        <f t="shared" si="0"/>
        <v>1.84768115942029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41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 t="str">
        <f>[32]Table3s2!B13</f>
        <v>NO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41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[32]Table3s2!B14</f>
        <v/>
      </c>
      <c r="C15" s="14" t="str">
        <f>[32]Table3s2!C14</f>
        <v/>
      </c>
      <c r="D15" s="14" t="str">
        <f>[32]Table3s2!D14</f>
        <v/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89">
        <v>0</v>
      </c>
      <c r="Z15" s="90">
        <v>0</v>
      </c>
      <c r="AA15" s="42">
        <v>0</v>
      </c>
    </row>
    <row r="16" spans="1:27" x14ac:dyDescent="0.35">
      <c r="A16" s="28" t="s">
        <v>8</v>
      </c>
      <c r="B16" s="29">
        <f>[32]Table4!$B$11</f>
        <v>3833.6308560000034</v>
      </c>
      <c r="C16" s="29">
        <f>[32]Summary1.As2!$C$21</f>
        <v>7.9803230000000003</v>
      </c>
      <c r="D16" s="29">
        <f>[32]Summary1.As2!$D$21</f>
        <v>1.298E-2</v>
      </c>
      <c r="E16" s="30">
        <v>0</v>
      </c>
      <c r="F16" s="29">
        <f>[32]Summary2!$C$41</f>
        <v>199.50807499999999</v>
      </c>
      <c r="G16" s="29">
        <f>[32]Summary2!$D$41</f>
        <v>3.8680400000000001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4037.0069710000034</v>
      </c>
      <c r="I16" s="32">
        <f>[32]Summary2!$J$41</f>
        <v>4037.0069710000034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223.44904400000001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3.4397000000000002</v>
      </c>
      <c r="L16" s="11">
        <f t="shared" si="2"/>
        <v>4060.5196000000033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4006.9106332870997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7.9809958912500001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2.8119558735714283</v>
      </c>
      <c r="P16" s="31">
        <f>N16*'GWP CFs'!$B$3</f>
        <v>223.46788495499999</v>
      </c>
      <c r="Q16" s="31">
        <f>O16*'GWP CFs'!$B$4</f>
        <v>745.1683064964285</v>
      </c>
      <c r="R16" s="33">
        <f>M16+P16+Q16</f>
        <v>4975.5468247385279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4006.9106332870997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7.9809958912500001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2.8119558735714283</v>
      </c>
      <c r="V16" s="31">
        <f>T16*'GWP CFs'!$B$3</f>
        <v>223.46788495499999</v>
      </c>
      <c r="W16" s="31">
        <f>U16*'GWP CFs'!$B$4</f>
        <v>745.1683064964285</v>
      </c>
      <c r="X16" s="33">
        <f>S16+V16+W16</f>
        <v>4975.5468247385279</v>
      </c>
      <c r="Y16" s="29">
        <f>[32]Table4.B!$C$10</f>
        <v>2785.3998470000001</v>
      </c>
      <c r="Z16" s="34">
        <v>0</v>
      </c>
      <c r="AA16" s="30">
        <v>0</v>
      </c>
    </row>
    <row r="17" spans="1:29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921.26077999999995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1.298E-2</v>
      </c>
      <c r="E17" s="9">
        <f>[32]Table4.B!$P$10</f>
        <v>-251.25294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3.8680400000000001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925.12881999999991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3.4397000000000002</v>
      </c>
      <c r="L17" s="11">
        <f t="shared" si="2"/>
        <v>924.70047999999997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[32]Table4.B!$D$10</f>
        <v>2648.3870419999998</v>
      </c>
      <c r="Z17" s="25">
        <v>0</v>
      </c>
      <c r="AA17" s="26">
        <v>0</v>
      </c>
    </row>
    <row r="18" spans="1:29" x14ac:dyDescent="0.35">
      <c r="A18" s="22" t="s">
        <v>44</v>
      </c>
      <c r="B18" s="12">
        <v>0</v>
      </c>
      <c r="C18" s="21">
        <v>0</v>
      </c>
      <c r="D18" s="48">
        <f>'[32]Table4(III)'!$D$18</f>
        <v>1.298E-2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3.8680400000000001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3.8680400000000001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3.4397000000000002</v>
      </c>
      <c r="L18" s="11">
        <f t="shared" si="2"/>
        <v>3.4397000000000002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'[32]Table4(III)'!$B$18</f>
        <v>48.213270999999999</v>
      </c>
      <c r="Z18" s="25">
        <v>0</v>
      </c>
      <c r="AA18" s="26">
        <v>0</v>
      </c>
    </row>
    <row r="19" spans="1:29" x14ac:dyDescent="0.35">
      <c r="A19" s="6" t="s">
        <v>45</v>
      </c>
      <c r="B19" s="49" t="str">
        <f>'[32]Table4(II)'!$G$33</f>
        <v>NO</v>
      </c>
      <c r="C19" s="48" t="str">
        <f>'[32]Table4(II)'!$I$33</f>
        <v>NO</v>
      </c>
      <c r="D19" s="48" t="str">
        <f>'[32]Table4(II)'!$H$33</f>
        <v>NO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'[32]Table4(II)'!$C$33</f>
        <v>NO</v>
      </c>
      <c r="Z19" s="25">
        <v>0</v>
      </c>
      <c r="AA19" s="26">
        <v>0</v>
      </c>
    </row>
    <row r="20" spans="1:29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3067.8487033333331</v>
      </c>
      <c r="C20" s="48">
        <f>'[32]Table4(II)'!$I$25</f>
        <v>7.9803230000000003</v>
      </c>
      <c r="D20" s="25">
        <v>0</v>
      </c>
      <c r="E20" s="9">
        <f>[32]Table4.B!$Q$10</f>
        <v>-836.68601000000001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199.50807500000002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3267.3567783333333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223.44904400000001</v>
      </c>
      <c r="K20" s="25">
        <v>0</v>
      </c>
      <c r="L20" s="11">
        <f t="shared" si="2"/>
        <v>3291.2977473333331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B$17*44/12</f>
        <v>3085.6498532870996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0.95*EFs!$C$17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E$17*44/28000</f>
        <v>2.7989758735714281</v>
      </c>
      <c r="P20" s="7">
        <f>N20*'GWP CFs'!$B$3</f>
        <v>0</v>
      </c>
      <c r="Q20" s="18">
        <f>O20*'GWP CFs'!$B$4</f>
        <v>741.72860649642848</v>
      </c>
      <c r="R20" s="11">
        <f>M20+P20+Q20</f>
        <v>3827.3784597835283</v>
      </c>
      <c r="S20" s="18">
        <f>AA20*EFs!$B$17*44/12</f>
        <v>3085.6498532870996</v>
      </c>
      <c r="T20" s="18">
        <f>AA20*0.95*EFs!$C$17/1000</f>
        <v>0</v>
      </c>
      <c r="U20" s="11">
        <f>AA20*EFs!$E$17*44/28000</f>
        <v>2.7989758735714281</v>
      </c>
      <c r="V20" s="18">
        <f>T20*'GWP CFs'!$B$3</f>
        <v>0</v>
      </c>
      <c r="W20" s="18">
        <f>U20*'GWP CFs'!$B$4</f>
        <v>741.72860649642848</v>
      </c>
      <c r="X20" s="11">
        <f>S20+V20+W20</f>
        <v>3827.3784597835283</v>
      </c>
      <c r="Y20" s="14">
        <f>[32]Table4.B!$E$10</f>
        <v>137.01280499999999</v>
      </c>
      <c r="Z20" s="25">
        <v>0</v>
      </c>
      <c r="AA20" s="39">
        <v>137.01280499999999</v>
      </c>
    </row>
    <row r="21" spans="1:29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0.05*EFs!$D$17/1000</f>
        <v>7.9809958912500001</v>
      </c>
      <c r="O21" s="26">
        <v>0</v>
      </c>
      <c r="P21" s="7">
        <f>N21*'GWP CFs'!$B$3</f>
        <v>223.46788495499999</v>
      </c>
      <c r="Q21" s="25">
        <v>0</v>
      </c>
      <c r="R21" s="11">
        <f>M21+P21+Q21</f>
        <v>223.46788495499999</v>
      </c>
      <c r="S21" s="25">
        <v>0</v>
      </c>
      <c r="T21" s="18">
        <f>AA20*0.05*EFs!$D$17/1000</f>
        <v>7.9809958912500001</v>
      </c>
      <c r="U21" s="42">
        <v>0</v>
      </c>
      <c r="V21" s="18">
        <f>T21*'GWP CFs'!$B$3</f>
        <v>223.46788495499999</v>
      </c>
      <c r="W21" s="25">
        <v>0</v>
      </c>
      <c r="X21" s="11">
        <f>V21</f>
        <v>223.46788495499999</v>
      </c>
      <c r="Y21" s="25">
        <v>0</v>
      </c>
      <c r="Z21" s="25">
        <v>0</v>
      </c>
      <c r="AA21" s="26">
        <v>0</v>
      </c>
    </row>
    <row r="22" spans="1:29" x14ac:dyDescent="0.35">
      <c r="A22" s="28" t="s">
        <v>7</v>
      </c>
      <c r="B22" s="29">
        <f>[32]Table4!$B$14</f>
        <v>-125.60126333333343</v>
      </c>
      <c r="C22" s="29">
        <f>[32]Summary1.As2!$C$22</f>
        <v>0.306284</v>
      </c>
      <c r="D22" s="29">
        <f>[32]Summary1.As2!$D$22</f>
        <v>1.5720000000000001E-2</v>
      </c>
      <c r="E22" s="30">
        <v>0</v>
      </c>
      <c r="F22" s="29">
        <f>[32]Summary2!$C$42</f>
        <v>7.6570999999999998</v>
      </c>
      <c r="G22" s="29">
        <f>[32]Summary2!$D$42</f>
        <v>4.6845600000000003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-113.25960333333343</v>
      </c>
      <c r="I22" s="32">
        <f>[32]Summary2!$J$42</f>
        <v>-113.25960333333344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8.5759520000000009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4.1657999999999999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-112.85951133333343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271.8848735973333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2.0129721786300001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8.0913738999999998E-2</v>
      </c>
      <c r="P22" s="31">
        <f>N22*'GWP CFs'!$B$3</f>
        <v>56.363221001639999</v>
      </c>
      <c r="Q22" s="31">
        <f>O22*'GWP CFs'!$B$4</f>
        <v>21.442140835</v>
      </c>
      <c r="R22" s="33">
        <f>M22+P22+Q22</f>
        <v>349.69023543397327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271.8848735973333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2.0129721786300001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8.0913738999999998E-2</v>
      </c>
      <c r="V22" s="31">
        <f>T22*'GWP CFs'!$B$3</f>
        <v>56.363221001639999</v>
      </c>
      <c r="W22" s="31">
        <f>U22*'GWP CFs'!$B$4</f>
        <v>21.442140835</v>
      </c>
      <c r="X22" s="33">
        <f>S22+V22+W22</f>
        <v>349.69023543397327</v>
      </c>
      <c r="Y22" s="29">
        <f>[32]Table4.C!$C$10</f>
        <v>521.766254</v>
      </c>
      <c r="Z22" s="34">
        <v>0</v>
      </c>
      <c r="AA22" s="30">
        <v>0</v>
      </c>
    </row>
    <row r="23" spans="1:29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12.082143333333333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1.5571E-2</v>
      </c>
      <c r="E23" s="9">
        <f>[32]Table4.C!$P$10</f>
        <v>-3.2951299999999999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4.6401579999999996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16.722301333333334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4.126315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16.208458333333333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[32]Table4.C!$D$10</f>
        <v>494.04509200000001</v>
      </c>
      <c r="Z23" s="25">
        <v>0</v>
      </c>
      <c r="AA23" s="26">
        <v>0</v>
      </c>
    </row>
    <row r="24" spans="1:29" x14ac:dyDescent="0.35">
      <c r="A24" s="22" t="s">
        <v>44</v>
      </c>
      <c r="B24" s="25">
        <v>0</v>
      </c>
      <c r="C24" s="25">
        <v>0</v>
      </c>
      <c r="D24" s="48">
        <f>'[32]Table4(III)'!$D$25</f>
        <v>1.5571E-2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4.6401579999999996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4.6401579999999996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4.126315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4.126315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>
        <f>'[32]Table4(III)'!$B$25</f>
        <v>494.04509200000001</v>
      </c>
      <c r="Z24" s="25">
        <v>0</v>
      </c>
      <c r="AA24" s="26">
        <v>0</v>
      </c>
    </row>
    <row r="25" spans="1:29" x14ac:dyDescent="0.35">
      <c r="A25" s="6" t="s">
        <v>45</v>
      </c>
      <c r="B25" s="49" t="str">
        <f>'[32]Table4(II)'!$G$48</f>
        <v>NO</v>
      </c>
      <c r="C25" s="48" t="str">
        <f>'[32]Table4(II)'!$I$48</f>
        <v>NO</v>
      </c>
      <c r="D25" s="48" t="str">
        <f>'[32]Table4(II)'!$H$48</f>
        <v>NO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'[32]Table4(II)'!$C$48</f>
        <v>NO</v>
      </c>
      <c r="Z25" s="25">
        <v>0</v>
      </c>
      <c r="AA25" s="26">
        <v>0</v>
      </c>
      <c r="AC25" s="82"/>
    </row>
    <row r="26" spans="1:29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169.61065366666668</v>
      </c>
      <c r="C26" s="48">
        <f>'[32]Table4(II)'!$I$40</f>
        <v>0.28456700000000001</v>
      </c>
      <c r="D26" s="25">
        <v>0</v>
      </c>
      <c r="E26" s="9">
        <f>[32]Table4.C!$Q$10</f>
        <v>-46.257451000000003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7.1141750000000004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176.72482866666667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7.9678760000000004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177.57852966666667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B18*44/12</f>
        <v>259.80273026399999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C18/1000</f>
        <v>1.2825195599300001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E18*44/28000</f>
        <v>6.5342738999999997E-2</v>
      </c>
      <c r="P26" s="7">
        <f>N26*'GWP CFs'!$B$3</f>
        <v>35.910547678040004</v>
      </c>
      <c r="Q26" s="7">
        <f>O26*'GWP CFs'!$B$4</f>
        <v>17.315825834999998</v>
      </c>
      <c r="R26" s="11">
        <f>M26+P26+Q26</f>
        <v>313.02910377704001</v>
      </c>
      <c r="S26" s="18">
        <f>AA26*EFs!B18*44/12</f>
        <v>259.80273026399999</v>
      </c>
      <c r="T26" s="18">
        <f>AA26*0.95*EFs!C18/1000</f>
        <v>1.2825195599300001</v>
      </c>
      <c r="U26" s="11">
        <f>AA26*EFs!E18*44/28000</f>
        <v>6.5342738999999997E-2</v>
      </c>
      <c r="V26" s="18">
        <f>T26*'GWP CFs'!$B$3</f>
        <v>35.910547678040004</v>
      </c>
      <c r="W26" s="18">
        <f>U26*'GWP CFs'!$B$4</f>
        <v>17.315825834999998</v>
      </c>
      <c r="X26" s="11">
        <f>S26+V26+W26</f>
        <v>313.02910377704001</v>
      </c>
      <c r="Y26" s="14">
        <f>[32]Table4.C!$E$10</f>
        <v>27.721162</v>
      </c>
      <c r="Z26" s="25">
        <v>0</v>
      </c>
      <c r="AA26" s="39">
        <v>27.721162</v>
      </c>
    </row>
    <row r="27" spans="1:29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D18/1000</f>
        <v>0.7304526187</v>
      </c>
      <c r="O27" s="10">
        <v>0</v>
      </c>
      <c r="P27" s="7">
        <f>N27*'GWP CFs'!$B$3</f>
        <v>20.452673323599999</v>
      </c>
      <c r="Q27" s="21">
        <v>0</v>
      </c>
      <c r="R27" s="11">
        <f>P27</f>
        <v>20.452673323599999</v>
      </c>
      <c r="S27" s="25">
        <v>0</v>
      </c>
      <c r="T27" s="18">
        <f>AA26*0.05*EFs!D18/1000</f>
        <v>0.7304526187</v>
      </c>
      <c r="U27" s="26">
        <v>0</v>
      </c>
      <c r="V27" s="18">
        <f>T27*'GWP CFs'!$B$3</f>
        <v>20.452673323599999</v>
      </c>
      <c r="W27" s="25">
        <v>0</v>
      </c>
      <c r="X27" s="11">
        <f>V27</f>
        <v>20.452673323599999</v>
      </c>
      <c r="Y27" s="25">
        <v>0</v>
      </c>
      <c r="Z27" s="25">
        <v>0</v>
      </c>
      <c r="AA27" s="26">
        <v>0</v>
      </c>
      <c r="AB27" s="82"/>
    </row>
    <row r="28" spans="1:29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0</v>
      </c>
      <c r="T28" s="31">
        <f>T29+T30</f>
        <v>0</v>
      </c>
      <c r="U28" s="33">
        <f>U29</f>
        <v>0</v>
      </c>
      <c r="V28" s="31">
        <f>V29+V30</f>
        <v>0</v>
      </c>
      <c r="W28" s="31">
        <f>W29</f>
        <v>0</v>
      </c>
      <c r="X28" s="33">
        <f>X29+X30</f>
        <v>0</v>
      </c>
      <c r="Y28" s="34">
        <v>0</v>
      </c>
      <c r="Z28" s="34">
        <v>0</v>
      </c>
      <c r="AA28" s="30">
        <v>0</v>
      </c>
    </row>
    <row r="29" spans="1:29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0</v>
      </c>
      <c r="T29" s="18">
        <f>AA29*0.95*EFs!$C$9/1000</f>
        <v>0</v>
      </c>
      <c r="U29" s="11">
        <f>AA29*EFs!$E$9*44/28000</f>
        <v>0</v>
      </c>
      <c r="V29" s="18">
        <f>T29*'GWP CFs'!$B$3</f>
        <v>0</v>
      </c>
      <c r="W29" s="18">
        <f>U29*'GWP CFs'!$B$4</f>
        <v>0</v>
      </c>
      <c r="X29" s="11">
        <f>S29+V29+W29</f>
        <v>0</v>
      </c>
      <c r="Y29" s="25">
        <v>0</v>
      </c>
      <c r="Z29" s="25">
        <v>0</v>
      </c>
      <c r="AA29" s="39">
        <v>0</v>
      </c>
    </row>
    <row r="30" spans="1:29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0</v>
      </c>
      <c r="U30" s="42">
        <v>0</v>
      </c>
      <c r="V30" s="44">
        <f>T30*'GWP CFs'!$B$3</f>
        <v>0</v>
      </c>
      <c r="W30" s="90">
        <v>0</v>
      </c>
      <c r="X30" s="46">
        <f>V30</f>
        <v>0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16" sqref="A16"/>
    </sheetView>
  </sheetViews>
  <sheetFormatPr baseColWidth="10" defaultRowHeight="14.5" x14ac:dyDescent="0.35"/>
  <cols>
    <col min="1" max="1" width="37.453125" bestFit="1" customWidth="1"/>
  </cols>
  <sheetData>
    <row r="1" spans="1:1" x14ac:dyDescent="0.35">
      <c r="A1" s="87" t="s">
        <v>134</v>
      </c>
    </row>
    <row r="2" spans="1:1" x14ac:dyDescent="0.35">
      <c r="A2" s="20" t="s">
        <v>135</v>
      </c>
    </row>
    <row r="3" spans="1:1" x14ac:dyDescent="0.35">
      <c r="A3" s="23" t="s">
        <v>136</v>
      </c>
    </row>
    <row r="4" spans="1:1" ht="30" customHeight="1" x14ac:dyDescent="0.35">
      <c r="A4" s="96" t="s">
        <v>137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zoomScale="60" zoomScaleNormal="60" workbookViewId="0">
      <selection activeCell="A30" sqref="A30:AA30"/>
    </sheetView>
  </sheetViews>
  <sheetFormatPr baseColWidth="10" defaultRowHeight="14.5" x14ac:dyDescent="0.35"/>
  <cols>
    <col min="1" max="1" width="47.81640625" customWidth="1"/>
  </cols>
  <sheetData>
    <row r="1" spans="1:27" ht="14.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2" t="s">
        <v>19</v>
      </c>
      <c r="Z2" s="2" t="s">
        <v>20</v>
      </c>
      <c r="AA2" s="3" t="s">
        <v>131</v>
      </c>
    </row>
    <row r="3" spans="1:27" x14ac:dyDescent="0.35">
      <c r="A3" s="5" t="s">
        <v>41</v>
      </c>
      <c r="B3" s="8">
        <f>[1]Summary1.As1!$B$7</f>
        <v>61408.433871693218</v>
      </c>
      <c r="C3" s="8">
        <f>[1]Summary1.As1!$C$7</f>
        <v>258.50316477650495</v>
      </c>
      <c r="D3" s="14">
        <f>[1]Summary1.As1!$D$7</f>
        <v>12.284262578862419</v>
      </c>
      <c r="E3" s="26">
        <v>0</v>
      </c>
      <c r="F3" s="8">
        <f>[1]Summary2!C7</f>
        <v>6462.5791194126241</v>
      </c>
      <c r="G3" s="8">
        <f>[1]Summary2!D7</f>
        <v>3660.7102485010009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71531.723239606843</v>
      </c>
      <c r="I3" s="9">
        <f>[1]Summary2!$J$7</f>
        <v>73797.666819953301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7238.0886137421385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3255.3295833985412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71901.852068833905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[1]Summary1.As2!$B$8</f>
        <v>120.3928130952381</v>
      </c>
      <c r="C4" s="29">
        <f>[1]Summary1.As2!$C$8</f>
        <v>186.53534700240178</v>
      </c>
      <c r="D4" s="29">
        <f>[1]Summary1.As2!$D$8</f>
        <v>8.1898477852205804</v>
      </c>
      <c r="E4" s="30">
        <v>0</v>
      </c>
      <c r="F4" s="29">
        <f>[1]Summary2!$C$28</f>
        <v>4663.383675060044</v>
      </c>
      <c r="G4" s="29">
        <f>[1]Summary2!$D$28</f>
        <v>2440.5746399957329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7224.3511281510146</v>
      </c>
      <c r="I4" s="32">
        <f>[1]Summary2!$J$28</f>
        <v>7224.3511281510155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5222.9897160672499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2170.3096630834539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7513.6921922459424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25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[1]Summary1.As2!$C$9</f>
        <v>164.71216917455632</v>
      </c>
      <c r="D5" s="21">
        <v>0</v>
      </c>
      <c r="E5" s="26">
        <v>0</v>
      </c>
      <c r="F5" s="8">
        <f>[1]Summary2!$C$29</f>
        <v>4117.8042293639082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4117.8042293639082</v>
      </c>
      <c r="I5" s="14">
        <f>[1]Summary2!$J$29</f>
        <v>4117.8042293639082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4611.9407368875773</v>
      </c>
      <c r="K5" s="25">
        <v>0</v>
      </c>
      <c r="L5" s="11">
        <f t="shared" si="0"/>
        <v>4611.9407368875773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25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[1]Summary1.As2!$C$10</f>
        <v>21.801590409928568</v>
      </c>
      <c r="D6" s="14">
        <f>[1]Summary1.As2!$D$10</f>
        <v>1.4799675256325</v>
      </c>
      <c r="E6" s="26">
        <v>0</v>
      </c>
      <c r="F6" s="8">
        <f>[1]Summary2!C30</f>
        <v>545.03976024821429</v>
      </c>
      <c r="G6" s="14">
        <f>[1]Summary2!D30</f>
        <v>441.03032263848502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986.07008288669931</v>
      </c>
      <c r="I6" s="14">
        <f>[1]Summary2!$J$30</f>
        <v>986.0700828866992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610.44453147799993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392.19139429261253</v>
      </c>
      <c r="L6" s="11">
        <f t="shared" si="0"/>
        <v>1002.6359257706124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25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 t="str">
        <f>[1]Table3s2!$C$7</f>
        <v>NO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0</v>
      </c>
      <c r="G7" s="25">
        <v>0</v>
      </c>
      <c r="H7" s="7">
        <f t="shared" si="1"/>
        <v>0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0</v>
      </c>
      <c r="K7" s="25">
        <v>0</v>
      </c>
      <c r="L7" s="11">
        <f t="shared" si="0"/>
        <v>0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25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[1]Summary1.As2!$C$12</f>
        <v>NA</v>
      </c>
      <c r="D8" s="14">
        <f>[1]Summary1.As2!$D$12</f>
        <v>6.7095841857280201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[1]Summary2!$D$32</f>
        <v>1999.45608734695</v>
      </c>
      <c r="H8" s="7">
        <f t="shared" si="1"/>
        <v>1999.45608734695</v>
      </c>
      <c r="I8" s="9">
        <f>[1]Summary2!$J$32</f>
        <v>1999.45608734695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1778.0398092179253</v>
      </c>
      <c r="L8" s="11">
        <f t="shared" si="0"/>
        <v>1778.0398092179253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25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>
        <f>[1]Table3.D!$E$17</f>
        <v>0.16692154285714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49.742619771427719</v>
      </c>
      <c r="H9" s="7">
        <f t="shared" si="1"/>
        <v>49.742619771427719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44.2342088571421</v>
      </c>
      <c r="L9" s="11">
        <f t="shared" si="0"/>
        <v>44.2342088571421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8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12.954000000000001</v>
      </c>
      <c r="Z9" s="14">
        <f>[1]Table3.D!$C$17</f>
        <v>12954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[1]Table3s2!C9</f>
        <v>NO</v>
      </c>
      <c r="D10" s="14" t="str">
        <f>[1]Table3s2!D9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25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>
        <f>[1]Table3s2!C10</f>
        <v>2.158741791688E-2</v>
      </c>
      <c r="D11" s="14">
        <f>[1]Table3s2!D10</f>
        <v>2.9607386005999999E-4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0.53968544792200002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8.8230010297879996E-2</v>
      </c>
      <c r="H11" s="7">
        <f t="shared" si="1"/>
        <v>0.62791545821988004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0.60444770167263995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7.84595729159E-2</v>
      </c>
      <c r="L11" s="11">
        <f t="shared" si="0"/>
        <v>0.68290727458853995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25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>
        <f>[1]Table3s2!B11</f>
        <v>96.50298166666667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96.50298166666667</v>
      </c>
      <c r="I12" s="26">
        <v>0</v>
      </c>
      <c r="J12" s="25">
        <v>0</v>
      </c>
      <c r="K12" s="25">
        <v>0</v>
      </c>
      <c r="L12" s="11">
        <f t="shared" si="0"/>
        <v>96.50298166666667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25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>
        <f>[1]Table3s2!B12</f>
        <v>23.88983142857143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23.88983142857143</v>
      </c>
      <c r="I13" s="26">
        <v>0</v>
      </c>
      <c r="J13" s="25">
        <v>0</v>
      </c>
      <c r="K13" s="25">
        <v>0</v>
      </c>
      <c r="L13" s="11">
        <f t="shared" si="0"/>
        <v>23.88983142857143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25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 t="str">
        <f>[1]Table3s2!B13</f>
        <v>NA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25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[1]Table3s2!B14</f>
        <v>NA</v>
      </c>
      <c r="C15" s="14" t="str">
        <f>[1]Table3s2!C14</f>
        <v>NA</v>
      </c>
      <c r="D15" s="14" t="str">
        <f>[1]Table3s2!D14</f>
        <v>NA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25">
        <v>0</v>
      </c>
      <c r="Z15" s="25">
        <v>0</v>
      </c>
      <c r="AA15" s="42">
        <v>0</v>
      </c>
    </row>
    <row r="16" spans="1:27" x14ac:dyDescent="0.35">
      <c r="A16" s="28" t="s">
        <v>8</v>
      </c>
      <c r="B16" s="29">
        <f>[1]Table4!$B$11</f>
        <v>105.38455790179151</v>
      </c>
      <c r="C16" s="29" t="str">
        <f>[1]Summary1.As2!$C$21</f>
        <v>NO,IE</v>
      </c>
      <c r="D16" s="29">
        <f>[1]Summary1.As2!$D$21</f>
        <v>7.7387256259689993E-2</v>
      </c>
      <c r="E16" s="30">
        <v>0</v>
      </c>
      <c r="F16" s="29" t="str">
        <f>[1]Summary2!$C$41</f>
        <v>NO,IE</v>
      </c>
      <c r="G16" s="29">
        <f>[1]Summary2!$D$41</f>
        <v>23.061402365387622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128.44596026717915</v>
      </c>
      <c r="I16" s="32">
        <f>[1]Summary2!$J$41</f>
        <v>128.44596026717912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0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20.507622908817847</v>
      </c>
      <c r="L16" s="11">
        <f t="shared" si="2"/>
        <v>125.89218081060936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82.828794060325194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0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7.7387256259689993E-2</v>
      </c>
      <c r="P16" s="31">
        <f>N16*'GWP CFs'!$B$3</f>
        <v>0</v>
      </c>
      <c r="Q16" s="31">
        <f>O16*'GWP CFs'!$B$4</f>
        <v>20.507622908817847</v>
      </c>
      <c r="R16" s="33">
        <f>M16+P16+Q16</f>
        <v>103.33641696914304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1889.0287940603253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3.4950000000000001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1.3031015419739758</v>
      </c>
      <c r="V16" s="31">
        <f>T16*'GWP CFs'!$B$3</f>
        <v>97.86</v>
      </c>
      <c r="W16" s="31">
        <f>U16*'GWP CFs'!$B$4</f>
        <v>345.32190862310358</v>
      </c>
      <c r="X16" s="33">
        <f>S16+V16+W16</f>
        <v>2332.2107026834287</v>
      </c>
      <c r="Y16" s="29">
        <f>[1]Table4.B!$C$10</f>
        <v>1405.3844833907574</v>
      </c>
      <c r="Z16" s="34">
        <v>0</v>
      </c>
      <c r="AA16" s="30">
        <v>0</v>
      </c>
    </row>
    <row r="17" spans="1:30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82.828794060325194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7.7387256259689993E-2</v>
      </c>
      <c r="E17" s="9">
        <f>[1]Table4.B!$P$10</f>
        <v>-22.589671107361418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23.061402365387618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105.89019642571282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20.507622908817847</v>
      </c>
      <c r="L17" s="11">
        <f t="shared" si="2"/>
        <v>103.33641696914304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[1]Table4.B!$D$10</f>
        <v>1405.3844833907574</v>
      </c>
      <c r="Z17" s="25">
        <v>0</v>
      </c>
      <c r="AA17" s="26">
        <v>0</v>
      </c>
    </row>
    <row r="18" spans="1:30" x14ac:dyDescent="0.35">
      <c r="A18" s="22" t="s">
        <v>44</v>
      </c>
      <c r="B18" s="12">
        <v>0</v>
      </c>
      <c r="C18" s="21">
        <v>0</v>
      </c>
      <c r="D18" s="48">
        <f>'[1]Table4(III)'!$D$14</f>
        <v>7.7387256259689993E-2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23.061402365387618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23.061402365387618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20.507622908817847</v>
      </c>
      <c r="L18" s="11">
        <f t="shared" si="2"/>
        <v>20.507622908817847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'[1]Table4(III)'!$B$14</f>
        <v>61.160157453298751</v>
      </c>
      <c r="Z18" s="25">
        <v>0</v>
      </c>
      <c r="AA18" s="26">
        <v>0</v>
      </c>
    </row>
    <row r="19" spans="1:30" x14ac:dyDescent="0.35">
      <c r="A19" s="6" t="s">
        <v>45</v>
      </c>
      <c r="B19" s="49" t="str">
        <f>'[1]Table4(II)'!$G$22</f>
        <v>NO</v>
      </c>
      <c r="C19" s="48" t="str">
        <f>'[1]Table4(II)'!$I$22</f>
        <v>NO</v>
      </c>
      <c r="D19" s="48" t="str">
        <f>'[1]Table4(II)'!$H$22</f>
        <v>NO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'[1]Table4(II)'!$C$22</f>
        <v>NO</v>
      </c>
      <c r="Z19" s="25">
        <v>0</v>
      </c>
      <c r="AA19" s="26">
        <v>0</v>
      </c>
    </row>
    <row r="20" spans="1:30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0</v>
      </c>
      <c r="C20" s="48" t="str">
        <f>'[1]Table4(II)'!$I$18</f>
        <v>NO</v>
      </c>
      <c r="D20" s="25">
        <v>0</v>
      </c>
      <c r="E20" s="9" t="str">
        <f>[1]Table4.B!$Q$10</f>
        <v>NO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0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0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0</v>
      </c>
      <c r="K20" s="25">
        <v>0</v>
      </c>
      <c r="L20" s="11">
        <f t="shared" si="2"/>
        <v>0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B$3*44/12</f>
        <v>0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E$3*44/28000</f>
        <v>0</v>
      </c>
      <c r="P20" s="7">
        <f>N20*'GWP CFs'!$B$3</f>
        <v>0</v>
      </c>
      <c r="Q20" s="18">
        <f>O20*'GWP CFs'!$B$4</f>
        <v>0</v>
      </c>
      <c r="R20" s="11">
        <f>M20+P20+Q20</f>
        <v>0</v>
      </c>
      <c r="S20" s="18">
        <f>AA20*EFs!$B$3*44/12</f>
        <v>1806.2</v>
      </c>
      <c r="T20" s="18">
        <f>AA20*0.95*EFs!$C$3/1000</f>
        <v>0</v>
      </c>
      <c r="U20" s="11">
        <f>AA20*EFs!$E$3*44/28000</f>
        <v>1.2257142857142858</v>
      </c>
      <c r="V20" s="18">
        <f>T20*'GWP CFs'!$B$3</f>
        <v>0</v>
      </c>
      <c r="W20" s="18">
        <f>U20*'GWP CFs'!$B$4</f>
        <v>324.81428571428575</v>
      </c>
      <c r="X20" s="11">
        <f>S20+V20+W20</f>
        <v>2131.014285714286</v>
      </c>
      <c r="Y20" s="14" t="str">
        <f>[1]Table4.B!$E$10</f>
        <v>NO</v>
      </c>
      <c r="Z20" s="25">
        <v>0</v>
      </c>
      <c r="AA20" s="39">
        <v>60</v>
      </c>
    </row>
    <row r="21" spans="1:30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0.05*EFs!$D$3/1000</f>
        <v>0</v>
      </c>
      <c r="O21" s="26">
        <v>0</v>
      </c>
      <c r="P21" s="7">
        <f>N21*'GWP CFs'!$B$3</f>
        <v>0</v>
      </c>
      <c r="Q21" s="25">
        <v>0</v>
      </c>
      <c r="R21" s="11">
        <f>M21+P21+Q21</f>
        <v>0</v>
      </c>
      <c r="S21" s="25">
        <v>0</v>
      </c>
      <c r="T21" s="18">
        <f>AA20*0.05*EFs!$D$3/1000</f>
        <v>3.4950000000000001</v>
      </c>
      <c r="U21" s="42">
        <v>0</v>
      </c>
      <c r="V21" s="18">
        <f>T21*'GWP CFs'!$B$3</f>
        <v>97.86</v>
      </c>
      <c r="W21" s="25">
        <v>0</v>
      </c>
      <c r="X21" s="11">
        <f>V21</f>
        <v>97.86</v>
      </c>
      <c r="Y21" s="25">
        <v>0</v>
      </c>
      <c r="Z21" s="25">
        <v>0</v>
      </c>
      <c r="AA21" s="26">
        <v>0</v>
      </c>
    </row>
    <row r="22" spans="1:30" x14ac:dyDescent="0.35">
      <c r="A22" s="28" t="s">
        <v>7</v>
      </c>
      <c r="B22" s="29">
        <f>[1]Table4!$B$14</f>
        <v>290.52940917802289</v>
      </c>
      <c r="C22" s="29">
        <f>[1]Summary1.As2!$C$22</f>
        <v>0.95147130000000002</v>
      </c>
      <c r="D22" s="29" t="str">
        <f>[1]Summary1.As2!$D$22</f>
        <v>NO</v>
      </c>
      <c r="E22" s="30">
        <v>0</v>
      </c>
      <c r="F22" s="29">
        <f>[1]Summary2!$C$42</f>
        <v>23.786782500000001</v>
      </c>
      <c r="G22" s="29" t="str">
        <f>[1]Summary2!$D$42</f>
        <v>NO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314.3161916780229</v>
      </c>
      <c r="I22" s="32">
        <f>[1]Summary2!$J$42</f>
        <v>314.3161916780229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26.641196400000002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0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317.1706055780229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67.053785703616597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0.95147130000000002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0.16692154285714284</v>
      </c>
      <c r="P22" s="31">
        <f>N22*'GWP CFs'!$B$3</f>
        <v>26.641196400000002</v>
      </c>
      <c r="Q22" s="31">
        <f>O22*'GWP CFs'!$B$4</f>
        <v>44.234208857142853</v>
      </c>
      <c r="R22" s="33">
        <f>M22+P22+Q22</f>
        <v>137.92919096075946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702.72493903694976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2.9380000000000002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0.51542857142857146</v>
      </c>
      <c r="V22" s="31">
        <f>T22*'GWP CFs'!$B$3</f>
        <v>82.26400000000001</v>
      </c>
      <c r="W22" s="31">
        <f>U22*'GWP CFs'!$B$4</f>
        <v>136.58857142857144</v>
      </c>
      <c r="X22" s="33">
        <f>S22+V22+W22</f>
        <v>921.57751046552119</v>
      </c>
      <c r="Y22" s="29">
        <f>[1]Table4.C!$C$10</f>
        <v>1334.9950014344565</v>
      </c>
      <c r="Z22" s="34">
        <v>0</v>
      </c>
      <c r="AA22" s="30">
        <v>0</v>
      </c>
    </row>
    <row r="23" spans="1:30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-237.40839429638339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0</v>
      </c>
      <c r="E23" s="9">
        <f>[1]Table4.C!$P$10</f>
        <v>64.747743899013656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0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-237.40839429638339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0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-237.40839429638339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[1]Table4.C!$D$10</f>
        <v>1322.0410014344566</v>
      </c>
      <c r="Z23" s="25">
        <v>0</v>
      </c>
      <c r="AA23" s="26">
        <v>0</v>
      </c>
    </row>
    <row r="24" spans="1:30" x14ac:dyDescent="0.35">
      <c r="A24" s="22" t="s">
        <v>44</v>
      </c>
      <c r="B24" s="25">
        <v>0</v>
      </c>
      <c r="C24" s="25">
        <v>0</v>
      </c>
      <c r="D24" s="48" t="str">
        <f>'[1]Table4(III)'!$D$18</f>
        <v>NO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0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0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0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0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 t="str">
        <f>'[1]Table4(III)'!$B$18</f>
        <v>NO</v>
      </c>
      <c r="Z24" s="25">
        <v>0</v>
      </c>
      <c r="AA24" s="26">
        <v>0</v>
      </c>
    </row>
    <row r="25" spans="1:30" x14ac:dyDescent="0.35">
      <c r="A25" s="6" t="s">
        <v>45</v>
      </c>
      <c r="B25" s="49" t="str">
        <f>'[1]Table4(II)'!$G$30</f>
        <v>NO</v>
      </c>
      <c r="C25" s="48" t="str">
        <f>'[1]Table4(II)'!$I$30</f>
        <v>NO</v>
      </c>
      <c r="D25" s="48" t="str">
        <f>'[1]Table4(II)'!$H$30</f>
        <v>NO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'[1]Table4(II)'!$C$30</f>
        <v>NO</v>
      </c>
      <c r="Z25" s="25">
        <v>0</v>
      </c>
      <c r="AA25" s="26">
        <v>0</v>
      </c>
    </row>
    <row r="26" spans="1:30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304.10119520000001</v>
      </c>
      <c r="C26" s="48">
        <f>'[1]Table4(II)'!$I$26</f>
        <v>0.95147130000000002</v>
      </c>
      <c r="D26" s="25">
        <v>0</v>
      </c>
      <c r="E26" s="9">
        <f>[1]Table4.C!$Q$10</f>
        <v>-82.936689600000008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23.786782500000001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327.88797770000002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26.641196400000002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330.74239160000002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$6*44/12</f>
        <v>304.46217999999999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$6/1000</f>
        <v>0.19690080000000001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$6*44/28000</f>
        <v>0.16692154285714284</v>
      </c>
      <c r="P26" s="7">
        <f>N26*'GWP CFs'!$B$3</f>
        <v>5.5132224000000001</v>
      </c>
      <c r="Q26" s="7">
        <f>O26*'GWP CFs'!$B$4</f>
        <v>44.234208857142853</v>
      </c>
      <c r="R26" s="11">
        <f>M26+P26+Q26</f>
        <v>354.20961125714285</v>
      </c>
      <c r="S26" s="18">
        <f>AA26*EFs!$B$6*44/12</f>
        <v>940.13333333333321</v>
      </c>
      <c r="T26" s="18">
        <f>AA26*0.95*EFs!$C$6/1000</f>
        <v>0.60799999999999998</v>
      </c>
      <c r="U26" s="11">
        <f>AA26*EFs!$E$6*44/28000</f>
        <v>0.51542857142857146</v>
      </c>
      <c r="V26" s="18">
        <f>T26*'GWP CFs'!$B$3</f>
        <v>17.024000000000001</v>
      </c>
      <c r="W26" s="18">
        <f>U26*'GWP CFs'!$B$4</f>
        <v>136.58857142857144</v>
      </c>
      <c r="X26" s="11">
        <f>S26+V26+W26</f>
        <v>1093.7459047619047</v>
      </c>
      <c r="Y26" s="14">
        <f>[1]Table4.C!$E$10</f>
        <v>12.954000000000001</v>
      </c>
      <c r="Z26" s="25">
        <v>0</v>
      </c>
      <c r="AA26" s="39">
        <v>40</v>
      </c>
      <c r="AD26" s="82"/>
    </row>
    <row r="27" spans="1:30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10">
        <v>0</v>
      </c>
      <c r="J27" s="12">
        <v>0</v>
      </c>
      <c r="K27" s="21">
        <v>0</v>
      </c>
      <c r="L27" s="10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$6/1000</f>
        <v>0.75457050000000003</v>
      </c>
      <c r="O27" s="10">
        <v>0</v>
      </c>
      <c r="P27" s="7">
        <f>N27*'GWP CFs'!$B$3</f>
        <v>21.127974000000002</v>
      </c>
      <c r="Q27" s="21">
        <v>0</v>
      </c>
      <c r="R27" s="11">
        <f>P27</f>
        <v>21.127974000000002</v>
      </c>
      <c r="S27" s="25">
        <v>0</v>
      </c>
      <c r="T27" s="18">
        <f>AA26*0.05*EFs!$D$6/1000</f>
        <v>2.33</v>
      </c>
      <c r="U27" s="26">
        <v>0</v>
      </c>
      <c r="V27" s="18">
        <f>T27*'GWP CFs'!$B$3</f>
        <v>65.240000000000009</v>
      </c>
      <c r="W27" s="25">
        <v>0</v>
      </c>
      <c r="X27" s="11">
        <f>V27</f>
        <v>65.240000000000009</v>
      </c>
      <c r="Y27" s="25">
        <v>0</v>
      </c>
      <c r="Z27" s="25">
        <v>0</v>
      </c>
      <c r="AA27" s="26">
        <v>0</v>
      </c>
    </row>
    <row r="28" spans="1:30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0</v>
      </c>
      <c r="T28" s="31">
        <f>T29+T30</f>
        <v>0</v>
      </c>
      <c r="U28" s="33">
        <f>U29</f>
        <v>0</v>
      </c>
      <c r="V28" s="31">
        <f>V29+V30</f>
        <v>0</v>
      </c>
      <c r="W28" s="31">
        <f>W29</f>
        <v>0</v>
      </c>
      <c r="X28" s="33">
        <f>X29+X30</f>
        <v>0</v>
      </c>
      <c r="Y28" s="34">
        <v>0</v>
      </c>
      <c r="Z28" s="34">
        <v>0</v>
      </c>
      <c r="AA28" s="30">
        <v>0</v>
      </c>
    </row>
    <row r="29" spans="1:30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0</v>
      </c>
      <c r="T29" s="18">
        <f>AA29*0.95*EFs!$C$9/1000</f>
        <v>0</v>
      </c>
      <c r="U29" s="11">
        <f>AA29*EFs!$E$9*44/28000</f>
        <v>0</v>
      </c>
      <c r="V29" s="18">
        <f>T29*'GWP CFs'!$B$3</f>
        <v>0</v>
      </c>
      <c r="W29" s="18">
        <f>U29*'GWP CFs'!$B$4</f>
        <v>0</v>
      </c>
      <c r="X29" s="11">
        <f>S29+V29+W29</f>
        <v>0</v>
      </c>
      <c r="Y29" s="25">
        <v>0</v>
      </c>
      <c r="Z29" s="25">
        <v>0</v>
      </c>
      <c r="AA29" s="39">
        <v>0</v>
      </c>
      <c r="AC29" s="82"/>
    </row>
    <row r="30" spans="1:30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0</v>
      </c>
      <c r="U30" s="42">
        <v>0</v>
      </c>
      <c r="V30" s="44">
        <f>T30*'GWP CFs'!$B$3</f>
        <v>0</v>
      </c>
      <c r="W30" s="90">
        <v>0</v>
      </c>
      <c r="X30" s="46">
        <f>V30</f>
        <v>0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topLeftCell="A12" zoomScale="60" zoomScaleNormal="60" workbookViewId="0">
      <selection activeCell="A30" sqref="A30:AA30"/>
    </sheetView>
  </sheetViews>
  <sheetFormatPr baseColWidth="10" defaultRowHeight="14.5" x14ac:dyDescent="0.35"/>
  <cols>
    <col min="1" max="1" width="47.7265625" customWidth="1"/>
  </cols>
  <sheetData>
    <row r="1" spans="1:27" ht="14.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2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[2]Summary1.As1!$B$7</f>
        <v>99092.237477063885</v>
      </c>
      <c r="C3" s="8">
        <f>[2]Summary1.As1!$C$7</f>
        <v>313.94941075809868</v>
      </c>
      <c r="D3" s="14">
        <f>[2]Summary1.As1!$D$7</f>
        <v>19.47404066101593</v>
      </c>
      <c r="E3" s="26">
        <v>0</v>
      </c>
      <c r="F3" s="8">
        <f>[2]Summary2!C7</f>
        <v>7848.7352689524669</v>
      </c>
      <c r="G3" s="8">
        <f>[2]Summary2!D7</f>
        <v>5803.2641169827475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112744.2368629991</v>
      </c>
      <c r="I3" s="9">
        <f>[2]Summary2!$J$7</f>
        <v>117441.11672250947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8790.5835012267635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5160.6207751692218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113043.44175345988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[2]Summary1.As2!$B$8</f>
        <v>190.4692939229719</v>
      </c>
      <c r="C4" s="29">
        <f>[2]Summary1.As2!$C$8</f>
        <v>232.49302678851853</v>
      </c>
      <c r="D4" s="29">
        <f>[2]Summary1.As2!$D$8</f>
        <v>13.282155808434201</v>
      </c>
      <c r="E4" s="30">
        <v>0</v>
      </c>
      <c r="F4" s="29">
        <f>[2]Summary2!$C$28</f>
        <v>5812.3256697129636</v>
      </c>
      <c r="G4" s="29">
        <f>[2]Summary2!$D$28</f>
        <v>3958.0824309133918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9960.8773945493267</v>
      </c>
      <c r="I4" s="32">
        <f>[2]Summary2!$J$28</f>
        <v>9960.8773945493267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6509.8047500785187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3519.7712892350633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10220.045333236554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25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[2]Summary1.As2!$C$9</f>
        <v>182.33495906576113</v>
      </c>
      <c r="D5" s="21">
        <v>0</v>
      </c>
      <c r="E5" s="26">
        <v>0</v>
      </c>
      <c r="F5" s="8">
        <f>[2]Summary2!$C$29</f>
        <v>4558.3739766440285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4558.3739766440285</v>
      </c>
      <c r="I5" s="14">
        <f>[2]Summary2!$J$29</f>
        <v>4558.3739766440285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5105.3788538413119</v>
      </c>
      <c r="K5" s="25">
        <v>0</v>
      </c>
      <c r="L5" s="11">
        <f t="shared" si="0"/>
        <v>5105.3788538413119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25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[2]Summary1.As2!$C$10</f>
        <v>50.158067722757401</v>
      </c>
      <c r="D6" s="14">
        <f>[2]Summary1.As2!$D$10</f>
        <v>2.2696185859577098</v>
      </c>
      <c r="E6" s="26">
        <v>0</v>
      </c>
      <c r="F6" s="8">
        <f>[2]Summary2!C30</f>
        <v>1253.9516930689349</v>
      </c>
      <c r="G6" s="14">
        <f>[2]Summary2!D30</f>
        <v>676.3463386153976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1930.2980316843325</v>
      </c>
      <c r="I6" s="14">
        <f>[2]Summary2!$J$30</f>
        <v>1930.2980316843325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1404.4258962372073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601.44892527879313</v>
      </c>
      <c r="L6" s="11">
        <f t="shared" si="0"/>
        <v>2005.8748215160003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25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 t="str">
        <f>[2]Table3s2!$C$7</f>
        <v>NO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0</v>
      </c>
      <c r="G7" s="25">
        <v>0</v>
      </c>
      <c r="H7" s="7">
        <f t="shared" si="1"/>
        <v>0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0</v>
      </c>
      <c r="K7" s="25">
        <v>0</v>
      </c>
      <c r="L7" s="11">
        <f t="shared" si="0"/>
        <v>0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25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[2]Summary1.As2!$C$12</f>
        <v>NA</v>
      </c>
      <c r="D8" s="14">
        <f>[2]Summary1.As2!$D$12</f>
        <v>11.012537222476491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[2]Summary2!$D$32</f>
        <v>3281.7360922979942</v>
      </c>
      <c r="H8" s="7">
        <f t="shared" si="1"/>
        <v>3281.7360922979942</v>
      </c>
      <c r="I8" s="9">
        <f>[2]Summary2!$J$32</f>
        <v>3281.7360922979942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2918.3223639562698</v>
      </c>
      <c r="L8" s="11">
        <f t="shared" si="0"/>
        <v>2918.3223639562698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25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>
        <f>[2]Table3.D!$E$17</f>
        <v>3.168E-2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9.4406400000000001</v>
      </c>
      <c r="H9" s="7">
        <f t="shared" si="1"/>
        <v>9.4406400000000001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8.3951999999999991</v>
      </c>
      <c r="L9" s="11">
        <f t="shared" si="0"/>
        <v>8.3951999999999991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8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2.52</v>
      </c>
      <c r="Z9" s="14">
        <f>[2]Table3.D!$C$17</f>
        <v>2520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[2]Table3s2!C9</f>
        <v>NO</v>
      </c>
      <c r="D10" s="14" t="str">
        <f>[2]Table3s2!D9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25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 t="str">
        <f>[2]Table3s2!C10</f>
        <v>NO</v>
      </c>
      <c r="D11" s="14" t="str">
        <f>[2]Table3s2!D10</f>
        <v>NO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0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0</v>
      </c>
      <c r="H11" s="7">
        <f t="shared" si="1"/>
        <v>0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0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0</v>
      </c>
      <c r="L11" s="11">
        <f t="shared" si="0"/>
        <v>0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25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>
        <f>[2]Table3s2!B11</f>
        <v>137.760216533711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137.760216533711</v>
      </c>
      <c r="I12" s="26">
        <v>0</v>
      </c>
      <c r="J12" s="25">
        <v>0</v>
      </c>
      <c r="K12" s="25">
        <v>0</v>
      </c>
      <c r="L12" s="11">
        <f t="shared" si="0"/>
        <v>137.760216533711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25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>
        <f>[2]Table3s2!B12</f>
        <v>52.709077389260898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52.709077389260898</v>
      </c>
      <c r="I13" s="26">
        <v>0</v>
      </c>
      <c r="J13" s="25">
        <v>0</v>
      </c>
      <c r="K13" s="25">
        <v>0</v>
      </c>
      <c r="L13" s="11">
        <f t="shared" si="0"/>
        <v>52.709077389260898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25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 t="str">
        <f>[2]Table3s2!B13</f>
        <v>NO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25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[2]Table3s2!B14</f>
        <v>NO</v>
      </c>
      <c r="C15" s="14" t="str">
        <f>[2]Table3s2!C14</f>
        <v>NO</v>
      </c>
      <c r="D15" s="14" t="str">
        <f>[2]Table3s2!D14</f>
        <v>NO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25">
        <v>0</v>
      </c>
      <c r="Z15" s="25">
        <v>0</v>
      </c>
      <c r="AA15" s="42">
        <v>0</v>
      </c>
    </row>
    <row r="16" spans="1:27" x14ac:dyDescent="0.35">
      <c r="A16" s="28" t="s">
        <v>8</v>
      </c>
      <c r="B16" s="29">
        <f>[2]Table4!$B$11</f>
        <v>779.51012574759784</v>
      </c>
      <c r="C16" s="29" t="str">
        <f>[2]Summary1.As2!$C$21</f>
        <v>NO</v>
      </c>
      <c r="D16" s="29">
        <f>[2]Summary1.As2!$D$21</f>
        <v>0.20606742671938</v>
      </c>
      <c r="E16" s="30">
        <v>0</v>
      </c>
      <c r="F16" s="29" t="str">
        <f>[2]Summary2!$C$41</f>
        <v>NO</v>
      </c>
      <c r="G16" s="29">
        <f>[2]Summary2!$D$41</f>
        <v>61.408093162375238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840.91821890997312</v>
      </c>
      <c r="I16" s="32">
        <f>[2]Summary2!$J$41</f>
        <v>840.91821890997312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0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54.607868080635697</v>
      </c>
      <c r="L16" s="11">
        <f t="shared" si="2"/>
        <v>834.11799382823358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766.52952577485064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0.11061675000000001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0.24486128386223716</v>
      </c>
      <c r="P16" s="31">
        <f>N16*'GWP CFs'!$B$3</f>
        <v>3.0972690000000003</v>
      </c>
      <c r="Q16" s="31">
        <f>O16*'GWP CFs'!$B$4</f>
        <v>64.888240223492843</v>
      </c>
      <c r="R16" s="33">
        <f>M16+P16+Q16</f>
        <v>834.51503499834348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766.55962910818391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0.110675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0.24488171243366572</v>
      </c>
      <c r="V16" s="31">
        <f>T16*'GWP CFs'!$B$3</f>
        <v>3.0989</v>
      </c>
      <c r="W16" s="31">
        <f>U16*'GWP CFs'!$B$4</f>
        <v>64.89365379492142</v>
      </c>
      <c r="X16" s="33">
        <f>S16+V16+W16</f>
        <v>834.55218290310529</v>
      </c>
      <c r="Y16" s="29">
        <f>[2]Table4.B!$C$10</f>
        <v>960.45726104450762</v>
      </c>
      <c r="Z16" s="34">
        <v>0</v>
      </c>
      <c r="AA16" s="30">
        <v>0</v>
      </c>
    </row>
    <row r="17" spans="1:27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709.3632957748506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0.20606742671938</v>
      </c>
      <c r="E17" s="9">
        <f>[2]Table4.B!$P$10</f>
        <v>-193.46271702950472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61.408093162375238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770.77138893722588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54.607868080635697</v>
      </c>
      <c r="L17" s="11">
        <f t="shared" si="2"/>
        <v>763.97116385548634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[2]Table4.B!$D$10</f>
        <v>958.55826104450762</v>
      </c>
      <c r="Z17" s="25">
        <v>0</v>
      </c>
      <c r="AA17" s="26">
        <v>0</v>
      </c>
    </row>
    <row r="18" spans="1:27" x14ac:dyDescent="0.35">
      <c r="A18" s="22" t="s">
        <v>44</v>
      </c>
      <c r="B18" s="12">
        <v>0</v>
      </c>
      <c r="C18" s="21">
        <v>0</v>
      </c>
      <c r="D18" s="48">
        <f>'[2]Table4(III)'!$D$18</f>
        <v>0.20606742671938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61.408093162375238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61.408093162375238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54.607868080635697</v>
      </c>
      <c r="L18" s="11">
        <f t="shared" si="2"/>
        <v>54.607868080635697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'[2]Table4(III)'!$B$18</f>
        <v>107.82740084154543</v>
      </c>
      <c r="Z18" s="25">
        <v>0</v>
      </c>
      <c r="AA18" s="26">
        <v>0</v>
      </c>
    </row>
    <row r="19" spans="1:27" x14ac:dyDescent="0.35">
      <c r="A19" s="6" t="s">
        <v>45</v>
      </c>
      <c r="B19" s="49" t="str">
        <f>'[2]Table4(II)'!$G$22</f>
        <v>NO</v>
      </c>
      <c r="C19" s="48" t="str">
        <f>'[2]Table4(II)'!$I$22</f>
        <v>NO</v>
      </c>
      <c r="D19" s="48" t="str">
        <f>'[2]Table4(II)'!$H$22</f>
        <v>NO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'[2]Table4(II)'!$C$22</f>
        <v>NO</v>
      </c>
      <c r="Z19" s="25">
        <v>0</v>
      </c>
      <c r="AA19" s="26">
        <v>0</v>
      </c>
    </row>
    <row r="20" spans="1:27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69.63</v>
      </c>
      <c r="C20" s="48" t="str">
        <f>'[2]Table4(II)'!$I$18</f>
        <v>NO</v>
      </c>
      <c r="D20" s="25">
        <v>0</v>
      </c>
      <c r="E20" s="9">
        <f>[2]Table4.B!$Q$10</f>
        <v>-18.989999999999998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0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69.63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0</v>
      </c>
      <c r="K20" s="25">
        <v>0</v>
      </c>
      <c r="L20" s="11">
        <f t="shared" si="2"/>
        <v>69.63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B$3*44/12</f>
        <v>57.166230000000006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E$3*44/28000</f>
        <v>3.8793857142857144E-2</v>
      </c>
      <c r="P20" s="7">
        <f>N20*'GWP CFs'!$B$3</f>
        <v>0</v>
      </c>
      <c r="Q20" s="18">
        <f>O20*'GWP CFs'!$B$4</f>
        <v>10.280372142857143</v>
      </c>
      <c r="R20" s="11">
        <f>M20+P20+Q20</f>
        <v>67.446602142857145</v>
      </c>
      <c r="S20" s="18">
        <f>AA20*EFs!$B$3*44/12</f>
        <v>57.196333333333335</v>
      </c>
      <c r="T20" s="18">
        <f>AA20*0.95*EFs!$C$3/1000</f>
        <v>0</v>
      </c>
      <c r="U20" s="11">
        <f>AA20*EFs!$E$3*44/28000</f>
        <v>3.8814285714285711E-2</v>
      </c>
      <c r="V20" s="18">
        <f>T20*'GWP CFs'!$B$3</f>
        <v>0</v>
      </c>
      <c r="W20" s="18">
        <f>U20*'GWP CFs'!$B$4</f>
        <v>10.285785714285714</v>
      </c>
      <c r="X20" s="11">
        <f>S20+V20+W20</f>
        <v>67.482119047619051</v>
      </c>
      <c r="Y20" s="14">
        <f>[2]Table4.B!$E$10</f>
        <v>1.899</v>
      </c>
      <c r="Z20" s="25">
        <v>0</v>
      </c>
      <c r="AA20" s="39">
        <v>1.9</v>
      </c>
    </row>
    <row r="21" spans="1:27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0.05*EFs!$D$3/1000</f>
        <v>0.11061675000000001</v>
      </c>
      <c r="O21" s="26">
        <v>0</v>
      </c>
      <c r="P21" s="7">
        <f>N21*'GWP CFs'!$B$3</f>
        <v>3.0972690000000003</v>
      </c>
      <c r="Q21" s="25">
        <v>0</v>
      </c>
      <c r="R21" s="11">
        <f>M21+P21+Q21</f>
        <v>3.0972690000000003</v>
      </c>
      <c r="S21" s="25">
        <v>0</v>
      </c>
      <c r="T21" s="18">
        <f>AA20*0.05*EFs!$D$3/1000</f>
        <v>0.110675</v>
      </c>
      <c r="U21" s="42">
        <v>0</v>
      </c>
      <c r="V21" s="18">
        <f>T21*'GWP CFs'!$B$3</f>
        <v>3.0989</v>
      </c>
      <c r="W21" s="25">
        <v>0</v>
      </c>
      <c r="X21" s="11">
        <f>V21</f>
        <v>3.0989</v>
      </c>
      <c r="Y21" s="25">
        <v>0</v>
      </c>
      <c r="Z21" s="25">
        <v>0</v>
      </c>
      <c r="AA21" s="26">
        <v>0</v>
      </c>
    </row>
    <row r="22" spans="1:27" x14ac:dyDescent="0.35">
      <c r="A22" s="28" t="s">
        <v>7</v>
      </c>
      <c r="B22" s="29">
        <f>[2]Table4!$B$14</f>
        <v>-817.34627004024946</v>
      </c>
      <c r="C22" s="29" t="str">
        <f>[2]Summary1.As2!$C$22</f>
        <v>NO</v>
      </c>
      <c r="D22" s="29">
        <f>[2]Summary1.As2!$D$22</f>
        <v>1.204557333546E-2</v>
      </c>
      <c r="E22" s="30">
        <v>0</v>
      </c>
      <c r="F22" s="29" t="str">
        <f>[2]Summary2!$C$42</f>
        <v>NO</v>
      </c>
      <c r="G22" s="29">
        <f>[2]Summary2!$D$42</f>
        <v>3.5895808539670799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-813.75668918628241</v>
      </c>
      <c r="I22" s="32">
        <f>[2]Summary2!$J$42</f>
        <v>-813.75668918628241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0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3.1920769338968999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-814.15419310635252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-920.1471863532513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5.2051399999999998E-2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1.4109801906888573E-2</v>
      </c>
      <c r="P22" s="31">
        <f>N22*'GWP CFs'!$B$3</f>
        <v>1.4574392</v>
      </c>
      <c r="Q22" s="31">
        <f>O22*'GWP CFs'!$B$4</f>
        <v>3.7390975053254718</v>
      </c>
      <c r="R22" s="33">
        <f>M22+P22+Q22</f>
        <v>-914.95064964792584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-867.40258968658463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0.28529999999999994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2.3359859049745715E-2</v>
      </c>
      <c r="V22" s="31">
        <f>T22*'GWP CFs'!$B$3</f>
        <v>7.9883999999999986</v>
      </c>
      <c r="W22" s="31">
        <f>U22*'GWP CFs'!$B$4</f>
        <v>6.1903626481826146</v>
      </c>
      <c r="X22" s="33">
        <f>S22+V22+W22</f>
        <v>-853.22382703840208</v>
      </c>
      <c r="Y22" s="29">
        <f>[2]Table4.C!$C$10</f>
        <v>651.84919245609069</v>
      </c>
      <c r="Z22" s="34">
        <v>0</v>
      </c>
      <c r="AA22" s="30">
        <v>0</v>
      </c>
    </row>
    <row r="23" spans="1:27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-931.91758968658462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1.204557333546E-2</v>
      </c>
      <c r="E23" s="9">
        <f>[2]Table4.C!$P$10</f>
        <v>254.1593426417958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3.5895808539670799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-928.32800883261757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3.1920769338968999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-928.72551275268768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[2]Table4.C!$D$10</f>
        <v>651.02819245609078</v>
      </c>
      <c r="Z23" s="25">
        <v>0</v>
      </c>
      <c r="AA23" s="26">
        <v>0</v>
      </c>
    </row>
    <row r="24" spans="1:27" x14ac:dyDescent="0.35">
      <c r="A24" s="22" t="s">
        <v>44</v>
      </c>
      <c r="B24" s="25">
        <v>0</v>
      </c>
      <c r="C24" s="25">
        <v>0</v>
      </c>
      <c r="D24" s="48">
        <f>'[2]Table4(III)'!$D$25</f>
        <v>1.204557333546E-2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3.5895808539670799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3.5895808539670799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3.1920769338968999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3.1920769338968999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>
        <f>'[2]Table4(III)'!$B$25</f>
        <v>651.57395697279173</v>
      </c>
      <c r="Z24" s="25">
        <v>0</v>
      </c>
      <c r="AA24" s="26">
        <v>0</v>
      </c>
    </row>
    <row r="25" spans="1:27" x14ac:dyDescent="0.35">
      <c r="A25" s="6" t="s">
        <v>45</v>
      </c>
      <c r="B25" s="49" t="str">
        <f>'[2]Table4(II)'!$G$30</f>
        <v>NO</v>
      </c>
      <c r="C25" s="48" t="str">
        <f>'[2]Table4(II)'!$I$30</f>
        <v>NO</v>
      </c>
      <c r="D25" s="48" t="str">
        <f>'[2]Table4(II)'!$H$30</f>
        <v>NO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'[2]Table4(II)'!$C$30</f>
        <v>NO</v>
      </c>
      <c r="Z25" s="25">
        <v>0</v>
      </c>
      <c r="AA25" s="26">
        <v>0</v>
      </c>
    </row>
    <row r="26" spans="1:27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5.6924999999999999</v>
      </c>
      <c r="C26" s="48" t="str">
        <f>'[2]Table4(II)'!$I$26</f>
        <v>NO</v>
      </c>
      <c r="D26" s="25">
        <v>0</v>
      </c>
      <c r="E26" s="9">
        <f>[2]Table4.C!$Q$10</f>
        <v>-1.5525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0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5.6924999999999999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0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5.6924999999999999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$7*44/12</f>
        <v>11.770403333333332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$7/1000</f>
        <v>3.0418049999999999E-2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$7*44/28000</f>
        <v>2.0642285714285715E-3</v>
      </c>
      <c r="P26" s="7">
        <f>N26*'GWP CFs'!$B$3</f>
        <v>0.85170539999999995</v>
      </c>
      <c r="Q26" s="7">
        <f>O26*'GWP CFs'!$B$4</f>
        <v>0.54702057142857141</v>
      </c>
      <c r="R26" s="11">
        <f>M26+P26+Q26</f>
        <v>13.169129304761904</v>
      </c>
      <c r="S26" s="18">
        <f>AA26*EFs!$B$7*44/12</f>
        <v>64.515000000000001</v>
      </c>
      <c r="T26" s="18">
        <f>AA26*0.95*EFs!$C$7/1000</f>
        <v>0.16672499999999996</v>
      </c>
      <c r="U26" s="11">
        <f>AA26*EFs!$E$7*44/28000</f>
        <v>1.1314285714285714E-2</v>
      </c>
      <c r="V26" s="18">
        <f>T26*'GWP CFs'!$B$3</f>
        <v>4.6682999999999986</v>
      </c>
      <c r="W26" s="18">
        <f>U26*'GWP CFs'!$B$4</f>
        <v>2.9982857142857142</v>
      </c>
      <c r="X26" s="11">
        <f>S26+V26+W26</f>
        <v>72.181585714285717</v>
      </c>
      <c r="Y26" s="14">
        <f>[2]Table4.C!$E$10</f>
        <v>0.82099999999999995</v>
      </c>
      <c r="Z26" s="25">
        <v>0</v>
      </c>
      <c r="AA26" s="39">
        <v>4.5</v>
      </c>
    </row>
    <row r="27" spans="1:27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$7/1000</f>
        <v>2.1633349999999999E-2</v>
      </c>
      <c r="O27" s="10">
        <v>0</v>
      </c>
      <c r="P27" s="7">
        <f>N27*'GWP CFs'!$B$3</f>
        <v>0.60573379999999999</v>
      </c>
      <c r="Q27" s="21">
        <v>0</v>
      </c>
      <c r="R27" s="11">
        <f>P27</f>
        <v>0.60573379999999999</v>
      </c>
      <c r="S27" s="25">
        <v>0</v>
      </c>
      <c r="T27" s="18">
        <f>AA26*0.05*EFs!$D$7/1000</f>
        <v>0.118575</v>
      </c>
      <c r="U27" s="26">
        <v>0</v>
      </c>
      <c r="V27" s="18">
        <f>T27*'GWP CFs'!$B$3</f>
        <v>3.3201000000000001</v>
      </c>
      <c r="W27" s="25">
        <v>0</v>
      </c>
      <c r="X27" s="11">
        <f>V27</f>
        <v>3.3201000000000001</v>
      </c>
      <c r="Y27" s="25">
        <v>0</v>
      </c>
      <c r="Z27" s="25">
        <v>0</v>
      </c>
      <c r="AA27" s="26">
        <v>0</v>
      </c>
    </row>
    <row r="28" spans="1:27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234.63</v>
      </c>
      <c r="T28" s="31">
        <f>T29+T30</f>
        <v>0.56092500000000001</v>
      </c>
      <c r="U28" s="33">
        <f>U29</f>
        <v>0.14072142857142855</v>
      </c>
      <c r="V28" s="31">
        <f>V29+V30</f>
        <v>15.705900000000002</v>
      </c>
      <c r="W28" s="31">
        <f>W29</f>
        <v>37.291178571428567</v>
      </c>
      <c r="X28" s="33">
        <f>X29+X30</f>
        <v>287.62707857142857</v>
      </c>
      <c r="Y28" s="34">
        <v>0</v>
      </c>
      <c r="Z28" s="34">
        <v>0</v>
      </c>
      <c r="AA28" s="30">
        <v>0</v>
      </c>
    </row>
    <row r="29" spans="1:27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234.63</v>
      </c>
      <c r="T29" s="18">
        <f>AA29*0.95*EFs!$C$9/1000</f>
        <v>7.2675000000000003E-2</v>
      </c>
      <c r="U29" s="11">
        <f>AA29*EFs!$E$9*44/28000</f>
        <v>0.14072142857142855</v>
      </c>
      <c r="V29" s="18">
        <f>T29*'GWP CFs'!$B$3</f>
        <v>2.0348999999999999</v>
      </c>
      <c r="W29" s="18">
        <f>U29*'GWP CFs'!$B$4</f>
        <v>37.291178571428567</v>
      </c>
      <c r="X29" s="11">
        <f>S29+V29+W29</f>
        <v>273.95607857142858</v>
      </c>
      <c r="Y29" s="25">
        <v>0</v>
      </c>
      <c r="Z29" s="25">
        <v>0</v>
      </c>
      <c r="AA29" s="39">
        <v>9</v>
      </c>
    </row>
    <row r="30" spans="1:27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0.48825000000000002</v>
      </c>
      <c r="U30" s="42">
        <v>0</v>
      </c>
      <c r="V30" s="44">
        <f>T30*'GWP CFs'!$B$3</f>
        <v>13.671000000000001</v>
      </c>
      <c r="W30" s="90">
        <v>0</v>
      </c>
      <c r="X30" s="46">
        <f>V30</f>
        <v>13.671000000000001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zoomScale="60" zoomScaleNormal="60" workbookViewId="0">
      <selection activeCell="AA20" sqref="AA20"/>
    </sheetView>
  </sheetViews>
  <sheetFormatPr baseColWidth="10" defaultRowHeight="14.5" x14ac:dyDescent="0.35"/>
  <cols>
    <col min="1" max="1" width="47.54296875" customWidth="1"/>
  </cols>
  <sheetData>
    <row r="1" spans="1:27" ht="14.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2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[3]Summary1.As1!$B$7</f>
        <v>34590.96964515638</v>
      </c>
      <c r="C3" s="8">
        <f>[3]Summary1.As1!$C$7</f>
        <v>270.28184234552543</v>
      </c>
      <c r="D3" s="14">
        <f>[3]Summary1.As1!$D$7</f>
        <v>19.249752686255519</v>
      </c>
      <c r="E3" s="26">
        <v>0</v>
      </c>
      <c r="F3" s="8">
        <f>[3]Summary2!C7</f>
        <v>6757.0460586381359</v>
      </c>
      <c r="G3" s="8">
        <f>[3]Summary2!D7</f>
        <v>5736.4263005041448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47084.44200429866</v>
      </c>
      <c r="I3" s="9">
        <f>[3]Summary2!$J$7</f>
        <v>49354.97857592591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7567.8915856747117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5101.1844618577124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47260.0456926888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[3]Summary1.As2!$B$8</f>
        <v>33.738829697464617</v>
      </c>
      <c r="C4" s="29">
        <f>[3]Summary1.As2!$C$8</f>
        <v>69.473697177993117</v>
      </c>
      <c r="D4" s="29">
        <f>[3]Summary1.As2!$D$8</f>
        <v>15.58760099557604</v>
      </c>
      <c r="E4" s="30">
        <v>0</v>
      </c>
      <c r="F4" s="29">
        <f>[3]Summary2!$C$28</f>
        <v>1736.8424294498277</v>
      </c>
      <c r="G4" s="29">
        <f>[3]Summary2!$D$28</f>
        <v>4645.1050966816601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6415.6863558289524</v>
      </c>
      <c r="I4" s="32">
        <f>[3]Summary2!$J$28</f>
        <v>6415.6863558289524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1945.2635209838072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4130.71426382765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6109.7166145089213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25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[3]Summary1.As2!$C$9</f>
        <v>59.607669346328407</v>
      </c>
      <c r="D5" s="21">
        <v>0</v>
      </c>
      <c r="E5" s="26">
        <v>0</v>
      </c>
      <c r="F5" s="8">
        <f>[3]Summary2!$C$29</f>
        <v>1490.1917336582103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1490.1917336582103</v>
      </c>
      <c r="I5" s="14">
        <f>[3]Summary2!$J$29</f>
        <v>1490.1917336582103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1669.0147416971954</v>
      </c>
      <c r="K5" s="25">
        <v>0</v>
      </c>
      <c r="L5" s="11">
        <f t="shared" si="0"/>
        <v>1669.0147416971954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25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[3]Summary1.As2!$C$10</f>
        <v>4.7931487145676499</v>
      </c>
      <c r="D6" s="14">
        <f>[3]Summary1.As2!$D$10</f>
        <v>1.5899956589227</v>
      </c>
      <c r="E6" s="26">
        <v>0</v>
      </c>
      <c r="F6" s="8">
        <f>[3]Summary2!C30</f>
        <v>119.82871786419125</v>
      </c>
      <c r="G6" s="14">
        <f>[3]Summary2!D30</f>
        <v>473.81870635896462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593.64742422315589</v>
      </c>
      <c r="I6" s="14">
        <f>[3]Summary2!$J$30</f>
        <v>593.64742422315589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134.2081640078942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421.34884961451553</v>
      </c>
      <c r="L6" s="11">
        <f t="shared" si="0"/>
        <v>555.55701362240973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25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>
        <f>[3]Table3s2!$C$7</f>
        <v>3.9641216825800099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99.103042064500244</v>
      </c>
      <c r="G7" s="25">
        <v>0</v>
      </c>
      <c r="H7" s="7">
        <f t="shared" si="1"/>
        <v>99.103042064500244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110.99540711224027</v>
      </c>
      <c r="K7" s="25">
        <v>0</v>
      </c>
      <c r="L7" s="11">
        <f t="shared" si="0"/>
        <v>110.99540711224027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25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[3]Summary1.As2!$C$12</f>
        <v>NO</v>
      </c>
      <c r="D8" s="14">
        <f>[3]Summary1.As2!$D$12</f>
        <v>13.971186653188891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[3]Summary2!$D$32</f>
        <v>4163.4136226502897</v>
      </c>
      <c r="H8" s="7">
        <f t="shared" si="1"/>
        <v>4163.4136226502897</v>
      </c>
      <c r="I8" s="9">
        <f>[3]Summary2!$J$32</f>
        <v>4163.4136226502897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3702.3644630950562</v>
      </c>
      <c r="L8" s="11">
        <f t="shared" si="0"/>
        <v>3702.3644630950562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25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>
        <f>[3]Table3.D!$E$17</f>
        <v>0.51878765714286001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154.59872182857228</v>
      </c>
      <c r="H9" s="7">
        <f t="shared" si="1"/>
        <v>154.59872182857228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137.4787291428579</v>
      </c>
      <c r="L9" s="11">
        <f t="shared" si="0"/>
        <v>137.4787291428579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8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41.267199999999995</v>
      </c>
      <c r="Z9" s="14">
        <f>[3]Table3.D!$C$17</f>
        <v>41267.199999999997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[3]Table3s2!C9</f>
        <v>NO</v>
      </c>
      <c r="D10" s="14" t="str">
        <f>[3]Table3s2!D9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25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>
        <f>[3]Table3s2!C10</f>
        <v>1.1087574345170399</v>
      </c>
      <c r="D11" s="14">
        <f>[3]Table3s2!D10</f>
        <v>2.6418683464450001E-2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27.718935862925996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7.8727676724061002</v>
      </c>
      <c r="H11" s="7">
        <f t="shared" si="1"/>
        <v>35.591703535332094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31.045208166477117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7.0009511180792501</v>
      </c>
      <c r="L11" s="11">
        <f t="shared" si="0"/>
        <v>38.046159284556367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25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 t="str">
        <f>[3]Table3s2!B11</f>
        <v>NO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0</v>
      </c>
      <c r="I12" s="26">
        <v>0</v>
      </c>
      <c r="J12" s="25">
        <v>0</v>
      </c>
      <c r="K12" s="25">
        <v>0</v>
      </c>
      <c r="L12" s="11">
        <f t="shared" si="0"/>
        <v>0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25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>
        <f>[3]Table3s2!B12</f>
        <v>33.738829697464617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33.738829697464617</v>
      </c>
      <c r="I13" s="26">
        <v>0</v>
      </c>
      <c r="J13" s="25">
        <v>0</v>
      </c>
      <c r="K13" s="25">
        <v>0</v>
      </c>
      <c r="L13" s="11">
        <f t="shared" si="0"/>
        <v>33.738829697464617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25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 t="str">
        <f>[3]Table3s2!B13</f>
        <v>NO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25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[3]Table3s2!B14</f>
        <v/>
      </c>
      <c r="C15" s="14" t="str">
        <f>[3]Table3s2!C14</f>
        <v/>
      </c>
      <c r="D15" s="14" t="str">
        <f>[3]Table3s2!D14</f>
        <v/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25">
        <v>0</v>
      </c>
      <c r="Z15" s="25">
        <v>0</v>
      </c>
      <c r="AA15" s="42">
        <v>0</v>
      </c>
    </row>
    <row r="16" spans="1:27" x14ac:dyDescent="0.35">
      <c r="A16" s="28" t="s">
        <v>8</v>
      </c>
      <c r="B16" s="29">
        <f>[3]Table4!$B$11</f>
        <v>586.11736853047387</v>
      </c>
      <c r="C16" s="29" t="str">
        <f>[3]Summary1.As2!$C$21</f>
        <v>NO</v>
      </c>
      <c r="D16" s="29">
        <f>[3]Summary1.As2!$D$21</f>
        <v>0.47398572713531001</v>
      </c>
      <c r="E16" s="30">
        <v>0</v>
      </c>
      <c r="F16" s="29" t="str">
        <f>[3]Summary2!$C$41</f>
        <v>NO</v>
      </c>
      <c r="G16" s="29">
        <f>[3]Summary2!$D$41</f>
        <v>141.24774668632239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727.36511521679631</v>
      </c>
      <c r="I16" s="32">
        <f>[3]Summary2!$J$41</f>
        <v>727.3651152167962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0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125.60621769085715</v>
      </c>
      <c r="L16" s="11">
        <f t="shared" si="2"/>
        <v>711.72358622133106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545.37333256798217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0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0.47398572713531001</v>
      </c>
      <c r="P16" s="31">
        <f>N16*'GWP CFs'!$B$3</f>
        <v>0</v>
      </c>
      <c r="Q16" s="31">
        <f>O16*'GWP CFs'!$B$4</f>
        <v>125.60621769085715</v>
      </c>
      <c r="R16" s="33">
        <f>M16+P16+Q16</f>
        <v>670.97955025883937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1501.7562325679824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1.8506024999999999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1.1230014414210243</v>
      </c>
      <c r="V16" s="31">
        <f>T16*'GWP CFs'!$B$3</f>
        <v>51.816869999999994</v>
      </c>
      <c r="W16" s="31">
        <f>U16*'GWP CFs'!$B$4</f>
        <v>297.59538197657145</v>
      </c>
      <c r="X16" s="33">
        <f>S16+V16+W16</f>
        <v>1851.1684845445538</v>
      </c>
      <c r="Y16" s="29">
        <f>[3]Table4.B!$C$10</f>
        <v>3676.2135757329602</v>
      </c>
      <c r="Z16" s="34">
        <v>0</v>
      </c>
      <c r="AA16" s="30">
        <v>0</v>
      </c>
    </row>
    <row r="17" spans="1:27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545.37333256798217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0.47398572713531001</v>
      </c>
      <c r="E17" s="9">
        <f>[3]Table4.B!$P$10</f>
        <v>-148.7381816094497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141.24774668632239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686.6210792543045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125.60621769085715</v>
      </c>
      <c r="L17" s="11">
        <f t="shared" si="2"/>
        <v>670.97955025883937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[3]Table4.B!$D$10</f>
        <v>3676.2135757329602</v>
      </c>
      <c r="Z17" s="25">
        <v>0</v>
      </c>
      <c r="AA17" s="26">
        <v>0</v>
      </c>
    </row>
    <row r="18" spans="1:27" x14ac:dyDescent="0.35">
      <c r="A18" s="22" t="s">
        <v>44</v>
      </c>
      <c r="B18" s="12">
        <v>0</v>
      </c>
      <c r="C18" s="21">
        <v>0</v>
      </c>
      <c r="D18" s="48">
        <f>'[3]Table4(III)'!$D$15</f>
        <v>0.47398572713531001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141.24774668632239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141.24774668632239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125.60621769085715</v>
      </c>
      <c r="L18" s="11">
        <f t="shared" si="2"/>
        <v>125.60621769085715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'[3]Table4(III)'!$B$15</f>
        <v>339.26258520393162</v>
      </c>
      <c r="Z18" s="25">
        <v>0</v>
      </c>
      <c r="AA18" s="26">
        <v>0</v>
      </c>
    </row>
    <row r="19" spans="1:27" x14ac:dyDescent="0.35">
      <c r="A19" s="6" t="s">
        <v>45</v>
      </c>
      <c r="B19" s="49" t="str">
        <f>'[3]Table4(II)'!$G$22</f>
        <v>NO</v>
      </c>
      <c r="C19" s="48" t="str">
        <f>'[3]Table4(II)'!$I$22</f>
        <v>NO</v>
      </c>
      <c r="D19" s="48" t="str">
        <f>'[3]Table4(II)'!$H$22</f>
        <v>NO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'[3]Table4(II)'!$C$22</f>
        <v>NO</v>
      </c>
      <c r="Z19" s="25">
        <v>0</v>
      </c>
      <c r="AA19" s="26">
        <v>0</v>
      </c>
    </row>
    <row r="20" spans="1:27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0</v>
      </c>
      <c r="C20" s="48" t="str">
        <f>'[3]Table4(II)'!$I$18</f>
        <v>NO</v>
      </c>
      <c r="D20" s="25">
        <v>0</v>
      </c>
      <c r="E20" s="9" t="str">
        <f>[3]Table4.B!$Q$10</f>
        <v>NO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0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0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0</v>
      </c>
      <c r="K20" s="25">
        <v>0</v>
      </c>
      <c r="L20" s="11">
        <f t="shared" si="2"/>
        <v>0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B$3*44/12</f>
        <v>0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E$3*44/28000</f>
        <v>0</v>
      </c>
      <c r="P20" s="7">
        <f>N20*'GWP CFs'!$B$3</f>
        <v>0</v>
      </c>
      <c r="Q20" s="18">
        <f>O20*'GWP CFs'!$B$3</f>
        <v>0</v>
      </c>
      <c r="R20" s="11">
        <f>M20+P20+Q20</f>
        <v>0</v>
      </c>
      <c r="S20" s="18">
        <f>AA20*EFs!$B$3*44/12</f>
        <v>956.38290000000006</v>
      </c>
      <c r="T20" s="18">
        <f>AA20*0.95*EFs!$C$3/1000</f>
        <v>0</v>
      </c>
      <c r="U20" s="11">
        <f>AA20*EFs!$E$3*44/28000</f>
        <v>0.64901571428571425</v>
      </c>
      <c r="V20" s="18">
        <f>T20*'GWP CFs'!$B$3</f>
        <v>0</v>
      </c>
      <c r="W20" s="18">
        <f>U20*'GWP CFs'!$B$4</f>
        <v>171.98916428571428</v>
      </c>
      <c r="X20" s="11">
        <f>S20+V20+W20</f>
        <v>1128.3720642857143</v>
      </c>
      <c r="Y20" s="14" t="str">
        <f>[3]Table4.B!$E$10</f>
        <v>NO</v>
      </c>
      <c r="Z20" s="25">
        <v>0</v>
      </c>
      <c r="AA20" s="39">
        <v>31.77</v>
      </c>
    </row>
    <row r="21" spans="1:27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0.05*EFs!$D$3/1000</f>
        <v>0</v>
      </c>
      <c r="O21" s="26">
        <v>0</v>
      </c>
      <c r="P21" s="7">
        <f>N21*'GWP CFs'!$B$3</f>
        <v>0</v>
      </c>
      <c r="Q21" s="25">
        <v>0</v>
      </c>
      <c r="R21" s="11">
        <f>M21+P21+Q21</f>
        <v>0</v>
      </c>
      <c r="S21" s="25">
        <v>0</v>
      </c>
      <c r="T21" s="18">
        <f>AA20*0.05*EFs!$D$3/1000</f>
        <v>1.8506024999999999</v>
      </c>
      <c r="U21" s="42">
        <v>0</v>
      </c>
      <c r="V21" s="18">
        <f>T21*'GWP CFs'!$B$3</f>
        <v>51.816869999999994</v>
      </c>
      <c r="W21" s="25">
        <v>0</v>
      </c>
      <c r="X21" s="11">
        <f>V21</f>
        <v>51.816869999999994</v>
      </c>
      <c r="Y21" s="25">
        <v>0</v>
      </c>
      <c r="Z21" s="25">
        <v>0</v>
      </c>
      <c r="AA21" s="26">
        <v>0</v>
      </c>
    </row>
    <row r="22" spans="1:27" x14ac:dyDescent="0.35">
      <c r="A22" s="28" t="s">
        <v>7</v>
      </c>
      <c r="B22" s="29">
        <f>[3]Table4!$B$14</f>
        <v>-1666.5715681234362</v>
      </c>
      <c r="C22" s="29" t="str">
        <f>[3]Summary1.As2!$C$22</f>
        <v>NO</v>
      </c>
      <c r="D22" s="29">
        <f>[3]Summary1.As2!$D$22</f>
        <v>0.19310516904798</v>
      </c>
      <c r="E22" s="30">
        <v>0</v>
      </c>
      <c r="F22" s="29" t="str">
        <f>[3]Summary2!$C$42</f>
        <v>NO</v>
      </c>
      <c r="G22" s="29">
        <f>[3]Summary2!$D$42</f>
        <v>57.545340376298043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-1609.0262277471381</v>
      </c>
      <c r="I22" s="32">
        <f>[3]Summary2!$J$42</f>
        <v>-1609.0262277471384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0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51.172869797714704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-1615.3986983257216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-1527.9455284143694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0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0.19310516904798</v>
      </c>
      <c r="P22" s="31">
        <f>N22*'GWP CFs'!$B$3</f>
        <v>0</v>
      </c>
      <c r="Q22" s="31">
        <f>O22*'GWP CFs'!$B$4</f>
        <v>51.172869797714704</v>
      </c>
      <c r="R22" s="33">
        <f>M22+P22+Q22</f>
        <v>-1476.7726586166548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-1429.3092617477027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0.43619200000000002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0.21040345476226571</v>
      </c>
      <c r="V22" s="31">
        <f>T22*'GWP CFs'!$B$3</f>
        <v>12.213376</v>
      </c>
      <c r="W22" s="31">
        <f>U22*'GWP CFs'!$B$4</f>
        <v>55.756915512000411</v>
      </c>
      <c r="X22" s="33">
        <f>S22+V22+W22</f>
        <v>-1361.3389702357024</v>
      </c>
      <c r="Y22" s="29">
        <f>[3]Table4.C!$C$10</f>
        <v>2555.2583278114844</v>
      </c>
      <c r="Z22" s="34">
        <v>0</v>
      </c>
      <c r="AA22" s="30">
        <v>0</v>
      </c>
    </row>
    <row r="23" spans="1:27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-1527.9455284143694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0.19310516904798</v>
      </c>
      <c r="E23" s="9">
        <f>[3]Table4.C!$P$10</f>
        <v>416.71241684028257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57.545340376298043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-1470.4001880380713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51.172869797714704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-1476.7726586166548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[3]Table4.C!$D$10</f>
        <v>2555.2583278114844</v>
      </c>
      <c r="Z23" s="25">
        <v>0</v>
      </c>
      <c r="AA23" s="26">
        <v>0</v>
      </c>
    </row>
    <row r="24" spans="1:27" x14ac:dyDescent="0.35">
      <c r="A24" s="22" t="s">
        <v>44</v>
      </c>
      <c r="B24" s="25">
        <v>0</v>
      </c>
      <c r="C24" s="25">
        <v>0</v>
      </c>
      <c r="D24" s="48">
        <f>'[3]Table4(III)'!$D$18</f>
        <v>0.19310516904798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57.545340376298043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57.545340376298043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51.172869797714704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51.172869797714704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>
        <f>'[3]Table4(III)'!$B$18</f>
        <v>92.970563999999996</v>
      </c>
      <c r="Z24" s="25">
        <v>0</v>
      </c>
      <c r="AA24" s="26">
        <v>0</v>
      </c>
    </row>
    <row r="25" spans="1:27" x14ac:dyDescent="0.35">
      <c r="A25" s="6" t="s">
        <v>45</v>
      </c>
      <c r="B25" s="49" t="str">
        <f>'[3]Table4(II)'!$G$30</f>
        <v>NO</v>
      </c>
      <c r="C25" s="48" t="str">
        <f>'[3]Table4(II)'!$I$30</f>
        <v>NO</v>
      </c>
      <c r="D25" s="48" t="str">
        <f>'[3]Table4(II)'!$H$30</f>
        <v>NO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'[3]Table4(II)'!$C$30</f>
        <v>NO</v>
      </c>
      <c r="Z25" s="25">
        <v>0</v>
      </c>
      <c r="AA25" s="26">
        <v>0</v>
      </c>
    </row>
    <row r="26" spans="1:27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0</v>
      </c>
      <c r="C26" s="48" t="str">
        <f>'[3]Table4(II)'!$I$26</f>
        <v>NO</v>
      </c>
      <c r="D26" s="25">
        <v>0</v>
      </c>
      <c r="E26" s="9" t="str">
        <f>[3]Table4.C!$Q$10</f>
        <v>NO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0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0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0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0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$7*44/12</f>
        <v>0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$7/1000</f>
        <v>0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$7*44/28000</f>
        <v>0</v>
      </c>
      <c r="P26" s="7">
        <f>N26*'GWP CFs'!$B$3</f>
        <v>0</v>
      </c>
      <c r="Q26" s="7">
        <f>O26*'GWP CFs'!$B$4</f>
        <v>0</v>
      </c>
      <c r="R26" s="11">
        <f>M26+P26+Q26</f>
        <v>0</v>
      </c>
      <c r="S26" s="18">
        <f>AA26*EFs!$B$7*44/12</f>
        <v>98.636266666666657</v>
      </c>
      <c r="T26" s="18">
        <f>AA26*0.95*EFs!$C$7/1000</f>
        <v>0.25490400000000002</v>
      </c>
      <c r="U26" s="11">
        <f>AA26*EFs!$E$7*44/28000</f>
        <v>1.7298285714285714E-2</v>
      </c>
      <c r="V26" s="18">
        <f>T26*'GWP CFs'!$B$3</f>
        <v>7.1373120000000005</v>
      </c>
      <c r="W26" s="18">
        <f>U26*'GWP CFs'!$B$4</f>
        <v>4.5840457142857138</v>
      </c>
      <c r="X26" s="11">
        <f>S26+V26+W26</f>
        <v>110.35762438095236</v>
      </c>
      <c r="Y26" s="14" t="str">
        <f>[3]Table4.C!$E$10</f>
        <v>NO</v>
      </c>
      <c r="Z26" s="25">
        <v>0</v>
      </c>
      <c r="AA26" s="39">
        <v>6.88</v>
      </c>
    </row>
    <row r="27" spans="1:27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$7/1000</f>
        <v>0</v>
      </c>
      <c r="O27" s="10">
        <v>0</v>
      </c>
      <c r="P27" s="7">
        <f>N27*'GWP CFs'!$B$3</f>
        <v>0</v>
      </c>
      <c r="Q27" s="21">
        <v>0</v>
      </c>
      <c r="R27" s="11">
        <f>P27</f>
        <v>0</v>
      </c>
      <c r="S27" s="25">
        <v>0</v>
      </c>
      <c r="T27" s="18">
        <f>AA26*0.05*EFs!$D$7/1000</f>
        <v>0.181288</v>
      </c>
      <c r="U27" s="26">
        <v>0</v>
      </c>
      <c r="V27" s="18">
        <f>T27*'GWP CFs'!$B$3</f>
        <v>5.0760640000000006</v>
      </c>
      <c r="W27" s="25">
        <v>0</v>
      </c>
      <c r="X27" s="11">
        <f>V27</f>
        <v>5.0760640000000006</v>
      </c>
      <c r="Y27" s="25">
        <v>0</v>
      </c>
      <c r="Z27" s="25">
        <v>0</v>
      </c>
      <c r="AA27" s="26">
        <v>0</v>
      </c>
    </row>
    <row r="28" spans="1:27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0</v>
      </c>
      <c r="T28" s="31">
        <f>T29+T30</f>
        <v>0</v>
      </c>
      <c r="U28" s="33">
        <f>U29</f>
        <v>0</v>
      </c>
      <c r="V28" s="31">
        <f>V29+V30</f>
        <v>0</v>
      </c>
      <c r="W28" s="31">
        <f>W29</f>
        <v>0</v>
      </c>
      <c r="X28" s="33">
        <f>X29+X30</f>
        <v>0</v>
      </c>
      <c r="Y28" s="34">
        <v>0</v>
      </c>
      <c r="Z28" s="34">
        <v>0</v>
      </c>
      <c r="AA28" s="30">
        <v>0</v>
      </c>
    </row>
    <row r="29" spans="1:27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0</v>
      </c>
      <c r="T29" s="18">
        <f>AA29*0.95*EFs!$C$9/1000</f>
        <v>0</v>
      </c>
      <c r="U29" s="11">
        <f>AA29*EFs!$E$9*44/28000</f>
        <v>0</v>
      </c>
      <c r="V29" s="18">
        <f>T29*'GWP CFs'!$B$3</f>
        <v>0</v>
      </c>
      <c r="W29" s="18">
        <f>U29*'GWP CFs'!$B$4</f>
        <v>0</v>
      </c>
      <c r="X29" s="11">
        <f>S29+V29+W29</f>
        <v>0</v>
      </c>
      <c r="Y29" s="25">
        <v>0</v>
      </c>
      <c r="Z29" s="25">
        <v>0</v>
      </c>
      <c r="AA29" s="39">
        <v>0</v>
      </c>
    </row>
    <row r="30" spans="1:27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0</v>
      </c>
      <c r="U30" s="42">
        <v>0</v>
      </c>
      <c r="V30" s="44">
        <f>T30*'GWP CFs'!$B$3</f>
        <v>0</v>
      </c>
      <c r="W30" s="90">
        <v>0</v>
      </c>
      <c r="X30" s="46">
        <f>V30</f>
        <v>0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zoomScale="60" zoomScaleNormal="60" workbookViewId="0">
      <selection activeCell="A30" sqref="A30:AA30"/>
    </sheetView>
  </sheetViews>
  <sheetFormatPr baseColWidth="10" defaultRowHeight="14.5" x14ac:dyDescent="0.35"/>
  <cols>
    <col min="1" max="1" width="47.7265625" customWidth="1"/>
  </cols>
  <sheetData>
    <row r="1" spans="1:27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2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[4]Summary1.As1!$B$7</f>
        <v>6932.5370566654174</v>
      </c>
      <c r="C3" s="8">
        <f>[4]Summary1.As1!$C$7</f>
        <v>35.411654208666938</v>
      </c>
      <c r="D3" s="14">
        <f>[4]Summary1.As1!$D$7</f>
        <v>0.99751773494952001</v>
      </c>
      <c r="E3" s="26">
        <v>0</v>
      </c>
      <c r="F3" s="8">
        <f>[4]Summary2!C7</f>
        <v>885.29135521667354</v>
      </c>
      <c r="G3" s="8">
        <f>[4]Summary2!D7</f>
        <v>297.26028501495693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8115.0886968970481</v>
      </c>
      <c r="I3" s="9">
        <f>[4]Summary2!$J$7</f>
        <v>8412.3942327708701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991.5263178426743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264.34219976162279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8188.4055742697137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[4]Summary1.As2!$B$8</f>
        <v>0.22344666666667001</v>
      </c>
      <c r="C4" s="29">
        <f>[4]Summary1.As2!$C$8</f>
        <v>12.474927475308281</v>
      </c>
      <c r="D4" s="29">
        <f>[4]Summary1.As2!$D$8</f>
        <v>0.62852329512023997</v>
      </c>
      <c r="E4" s="30">
        <v>0</v>
      </c>
      <c r="F4" s="29">
        <f>[4]Summary2!$C$28</f>
        <v>311.87318688270699</v>
      </c>
      <c r="G4" s="29">
        <f>[4]Summary2!$D$28</f>
        <v>187.29994194583151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499.39657549520518</v>
      </c>
      <c r="I4" s="32">
        <f>[4]Summary2!$J$28</f>
        <v>499.39657549520518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349.29796930863188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166.5586732068636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516.08008918216217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25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[4]Summary1.As2!$C$9</f>
        <v>10.46114327301219</v>
      </c>
      <c r="D5" s="21">
        <v>0</v>
      </c>
      <c r="E5" s="26">
        <v>0</v>
      </c>
      <c r="F5" s="8">
        <f>[4]Summary2!$C$29</f>
        <v>261.52858182530474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261.52858182530474</v>
      </c>
      <c r="I5" s="14">
        <f>[4]Summary2!$J$29</f>
        <v>261.52858182530474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292.91201164434131</v>
      </c>
      <c r="K5" s="25">
        <v>0</v>
      </c>
      <c r="L5" s="11">
        <f t="shared" si="0"/>
        <v>292.91201164434131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25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[4]Summary1.As2!$C$10</f>
        <v>2.0067045581399499</v>
      </c>
      <c r="D6" s="14">
        <f>[4]Summary1.As2!$D$10</f>
        <v>0.22844826903959001</v>
      </c>
      <c r="E6" s="26">
        <v>0</v>
      </c>
      <c r="F6" s="8">
        <f>[4]Summary2!C30</f>
        <v>50.167613953498751</v>
      </c>
      <c r="G6" s="14">
        <f>[4]Summary2!D30</f>
        <v>68.077584173797817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118.24519812729656</v>
      </c>
      <c r="I6" s="14">
        <f>[4]Summary2!$J$30</f>
        <v>118.24519812729658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56.187727627918598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60.53879129549135</v>
      </c>
      <c r="L6" s="11">
        <f t="shared" si="0"/>
        <v>116.72651892340994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25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 t="str">
        <f>[4]Table3s2!$C$7</f>
        <v>NO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0</v>
      </c>
      <c r="G7" s="25">
        <v>0</v>
      </c>
      <c r="H7" s="7">
        <f t="shared" si="1"/>
        <v>0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0</v>
      </c>
      <c r="K7" s="25">
        <v>0</v>
      </c>
      <c r="L7" s="11">
        <f t="shared" si="0"/>
        <v>0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25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[4]Summary1.As2!$C$12</f>
        <v>NE</v>
      </c>
      <c r="D8" s="14">
        <f>[4]Summary1.As2!$D$12</f>
        <v>0.39989147975068001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[4]Summary2!$D$32</f>
        <v>119.16766096570264</v>
      </c>
      <c r="H8" s="7">
        <f t="shared" si="1"/>
        <v>119.16766096570264</v>
      </c>
      <c r="I8" s="9">
        <f>[4]Summary2!$J$32</f>
        <v>119.16766096570264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105.9712421339302</v>
      </c>
      <c r="L8" s="11">
        <f t="shared" si="0"/>
        <v>105.9712421339302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25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 t="str">
        <f>[4]Table3.D!$E$17</f>
        <v>NO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0</v>
      </c>
      <c r="H9" s="7">
        <f t="shared" si="1"/>
        <v>0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0</v>
      </c>
      <c r="L9" s="11">
        <f t="shared" si="0"/>
        <v>0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8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0</v>
      </c>
      <c r="Z9" s="14" t="str">
        <f>[4]Table3.D!$C$17</f>
        <v>NO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[4]Table3s2!C9</f>
        <v>NO</v>
      </c>
      <c r="D10" s="14" t="str">
        <f>[4]Table3s2!D9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25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>
        <f>[4]Table3s2!C10</f>
        <v>7.0796441561399998E-3</v>
      </c>
      <c r="D11" s="14">
        <f>[4]Table3s2!D10</f>
        <v>1.8354632997000001E-4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0.17699110390349998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5.4696806331059999E-2</v>
      </c>
      <c r="H11" s="7">
        <f t="shared" si="1"/>
        <v>0.23168791023455998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0.19823003637191999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4.8639777442050003E-2</v>
      </c>
      <c r="L11" s="11">
        <f t="shared" si="0"/>
        <v>0.24686981381397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25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 t="str">
        <f>[4]Table3s2!B11</f>
        <v>NO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0</v>
      </c>
      <c r="I12" s="26">
        <v>0</v>
      </c>
      <c r="J12" s="25">
        <v>0</v>
      </c>
      <c r="K12" s="25">
        <v>0</v>
      </c>
      <c r="L12" s="11">
        <f t="shared" si="0"/>
        <v>0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25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>
        <f>[4]Table3s2!B12</f>
        <v>0.22344666666667001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0.22344666666667001</v>
      </c>
      <c r="I13" s="26">
        <v>0</v>
      </c>
      <c r="J13" s="25">
        <v>0</v>
      </c>
      <c r="K13" s="25">
        <v>0</v>
      </c>
      <c r="L13" s="11">
        <f t="shared" si="0"/>
        <v>0.22344666666667001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25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 t="str">
        <f>[4]Table3s2!B13</f>
        <v>NO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25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[4]Table3s2!B14</f>
        <v>NO</v>
      </c>
      <c r="C15" s="14" t="str">
        <f>[4]Table3s2!C14</f>
        <v>NO</v>
      </c>
      <c r="D15" s="14" t="str">
        <f>[4]Table3s2!D14</f>
        <v>NO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25">
        <v>0</v>
      </c>
      <c r="Z15" s="25">
        <v>0</v>
      </c>
      <c r="AA15" s="42">
        <v>0</v>
      </c>
    </row>
    <row r="16" spans="1:27" x14ac:dyDescent="0.35">
      <c r="A16" s="28" t="s">
        <v>8</v>
      </c>
      <c r="B16" s="29">
        <f>[4]Table4!$B$11</f>
        <v>-153.76966057733981</v>
      </c>
      <c r="C16" s="29" t="str">
        <f>[4]Summary1.As2!$C$21</f>
        <v>NE</v>
      </c>
      <c r="D16" s="29" t="str">
        <f>[4]Summary1.As2!$D$21</f>
        <v>NE</v>
      </c>
      <c r="E16" s="30">
        <v>0</v>
      </c>
      <c r="F16" s="29" t="str">
        <f>[4]Summary2!$C$41</f>
        <v>NE</v>
      </c>
      <c r="G16" s="29" t="str">
        <f>[4]Summary2!$D$41</f>
        <v>NE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-153.76966057733981</v>
      </c>
      <c r="I16" s="32">
        <f>[4]Summary2!$J$41</f>
        <v>-153.76966057733981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0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0</v>
      </c>
      <c r="L16" s="11">
        <f t="shared" si="2"/>
        <v>-153.76966057733981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-12.967829348074773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0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0</v>
      </c>
      <c r="P16" s="31">
        <f>N16*'GWP CFs'!$B$3</f>
        <v>0</v>
      </c>
      <c r="Q16" s="31">
        <f>O16*'GWP CFs'!$B$4</f>
        <v>0</v>
      </c>
      <c r="R16" s="33">
        <f>M16+P16+Q16</f>
        <v>-12.967829348074773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-12.967829348074773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0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0</v>
      </c>
      <c r="V16" s="31">
        <f>T16*'GWP CFs'!$B$3</f>
        <v>0</v>
      </c>
      <c r="W16" s="31">
        <f>U16*'GWP CFs'!$B$4</f>
        <v>0</v>
      </c>
      <c r="X16" s="33">
        <f>S16+V16+W16</f>
        <v>-12.967829348074773</v>
      </c>
      <c r="Y16" s="29">
        <f>[4]Table4.B!$C$10</f>
        <v>246.22358798822009</v>
      </c>
      <c r="Z16" s="34">
        <v>0</v>
      </c>
      <c r="AA16" s="30">
        <v>0</v>
      </c>
    </row>
    <row r="17" spans="1:27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-12.967829348074773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0</v>
      </c>
      <c r="E17" s="9">
        <f>[4]Table4.B!$P$10</f>
        <v>3.5366807312931199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0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-12.967829348074773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0</v>
      </c>
      <c r="L17" s="11">
        <f t="shared" si="2"/>
        <v>-12.967829348074773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[4]Table4.B!$D$10</f>
        <v>246.22358798822009</v>
      </c>
      <c r="Z17" s="25">
        <v>0</v>
      </c>
      <c r="AA17" s="26">
        <v>0</v>
      </c>
    </row>
    <row r="18" spans="1:27" x14ac:dyDescent="0.35">
      <c r="A18" s="22" t="s">
        <v>44</v>
      </c>
      <c r="B18" s="12">
        <v>0</v>
      </c>
      <c r="C18" s="21">
        <v>0</v>
      </c>
      <c r="D18" s="48" t="str">
        <f>'[4]Table4(III)'!$D$13</f>
        <v/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0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0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0</v>
      </c>
      <c r="L18" s="11">
        <f t="shared" si="2"/>
        <v>0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 t="str">
        <f>'[4]Table4(III)'!$B$13</f>
        <v/>
      </c>
      <c r="Z18" s="25">
        <v>0</v>
      </c>
      <c r="AA18" s="26">
        <v>0</v>
      </c>
    </row>
    <row r="19" spans="1:27" x14ac:dyDescent="0.35">
      <c r="A19" s="6" t="s">
        <v>45</v>
      </c>
      <c r="B19" s="49" t="str">
        <f>'[4]Table4(II)'!$G$22</f>
        <v/>
      </c>
      <c r="C19" s="48" t="str">
        <f>'[4]Table4(II)'!$I$22</f>
        <v/>
      </c>
      <c r="D19" s="48" t="str">
        <f>'[4]Table4(II)'!$H$22</f>
        <v/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'[4]Table4(II)'!$C$22</f>
        <v/>
      </c>
      <c r="Z19" s="25">
        <v>0</v>
      </c>
      <c r="AA19" s="26">
        <v>0</v>
      </c>
    </row>
    <row r="20" spans="1:27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0</v>
      </c>
      <c r="C20" s="48" t="str">
        <f>'[4]Table4(II)'!$I$18</f>
        <v/>
      </c>
      <c r="D20" s="25">
        <v>0</v>
      </c>
      <c r="E20" s="9" t="str">
        <f>[4]Table4.B!$Q$10</f>
        <v>NO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0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0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0</v>
      </c>
      <c r="K20" s="25">
        <v>0</v>
      </c>
      <c r="L20" s="11">
        <f t="shared" si="2"/>
        <v>0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B$3*44/12</f>
        <v>0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E$3*44/28000</f>
        <v>0</v>
      </c>
      <c r="P20" s="7">
        <f>N20*'GWP CFs'!$B$3</f>
        <v>0</v>
      </c>
      <c r="Q20" s="18">
        <f>O20*'GWP CFs'!$B$4</f>
        <v>0</v>
      </c>
      <c r="R20" s="11">
        <f>M20+P20+Q20</f>
        <v>0</v>
      </c>
      <c r="S20" s="18">
        <f>AA20*EFs!$B$3*44/12</f>
        <v>0</v>
      </c>
      <c r="T20" s="18">
        <f>AA20*0.95*EFs!$C$3/1000</f>
        <v>0</v>
      </c>
      <c r="U20" s="11">
        <f>AA20*EFs!$E$3*44/28000</f>
        <v>0</v>
      </c>
      <c r="V20" s="18">
        <f>T20*'GWP CFs'!$B$3</f>
        <v>0</v>
      </c>
      <c r="W20" s="18">
        <f>U20*'GWP CFs'!$B$4</f>
        <v>0</v>
      </c>
      <c r="X20" s="11">
        <f>S20+V20+W20</f>
        <v>0</v>
      </c>
      <c r="Y20" s="14" t="str">
        <f>[4]Table4.B!$E$10</f>
        <v>NO</v>
      </c>
      <c r="Z20" s="25">
        <v>0</v>
      </c>
      <c r="AA20" s="39">
        <v>0</v>
      </c>
    </row>
    <row r="21" spans="1:27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0.05*EFs!$D$3/1000</f>
        <v>0</v>
      </c>
      <c r="O21" s="26">
        <v>0</v>
      </c>
      <c r="P21" s="7">
        <f>N21*'GWP CFs'!$B$3</f>
        <v>0</v>
      </c>
      <c r="Q21" s="25">
        <v>0</v>
      </c>
      <c r="R21" s="11">
        <f>M21+P21+Q21</f>
        <v>0</v>
      </c>
      <c r="S21" s="25">
        <v>0</v>
      </c>
      <c r="T21" s="18">
        <f>AA20*0.05*EFs!$D$3/1000</f>
        <v>0</v>
      </c>
      <c r="U21" s="42">
        <v>0</v>
      </c>
      <c r="V21" s="18">
        <f>T21*'GWP CFs'!$B$3</f>
        <v>0</v>
      </c>
      <c r="W21" s="25">
        <v>0</v>
      </c>
      <c r="X21" s="11">
        <f>V21</f>
        <v>0</v>
      </c>
      <c r="Y21" s="25">
        <v>0</v>
      </c>
      <c r="Z21" s="25">
        <v>0</v>
      </c>
      <c r="AA21" s="26">
        <v>0</v>
      </c>
    </row>
    <row r="22" spans="1:27" x14ac:dyDescent="0.35">
      <c r="A22" s="28" t="s">
        <v>7</v>
      </c>
      <c r="B22" s="29">
        <f>[4]Table4!$B$14</f>
        <v>-124.72203456935446</v>
      </c>
      <c r="C22" s="29" t="str">
        <f>[4]Summary1.As2!$C$22</f>
        <v>NO,NE</v>
      </c>
      <c r="D22" s="29" t="str">
        <f>[4]Summary1.As2!$D$22</f>
        <v>NE</v>
      </c>
      <c r="E22" s="30">
        <v>0</v>
      </c>
      <c r="F22" s="29" t="str">
        <f>[4]Summary2!$C$42</f>
        <v>NO,NE</v>
      </c>
      <c r="G22" s="29" t="str">
        <f>[4]Summary2!$D$42</f>
        <v>NE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-124.72203456935446</v>
      </c>
      <c r="I22" s="32">
        <f>[4]Summary2!$J$42</f>
        <v>-124.72203456935446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0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0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-124.72203456935446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-2.7712992189669232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0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0</v>
      </c>
      <c r="P22" s="31">
        <f>N22*'GWP CFs'!$B$3</f>
        <v>0</v>
      </c>
      <c r="Q22" s="31">
        <f>O22*'GWP CFs'!$B$4</f>
        <v>0</v>
      </c>
      <c r="R22" s="33">
        <f>M22+P22+Q22</f>
        <v>-2.7712992189669232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-2.7712992189669232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0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0</v>
      </c>
      <c r="V22" s="31">
        <f>T22*'GWP CFs'!$B$3</f>
        <v>0</v>
      </c>
      <c r="W22" s="31">
        <f>U22*'GWP CFs'!$B$4</f>
        <v>0</v>
      </c>
      <c r="X22" s="33">
        <f>S22+V22+W22</f>
        <v>-2.7712992189669232</v>
      </c>
      <c r="Y22" s="29">
        <f>[4]Table4.C!$C$10</f>
        <v>131.17552754540699</v>
      </c>
      <c r="Z22" s="34">
        <v>0</v>
      </c>
      <c r="AA22" s="30">
        <v>0</v>
      </c>
    </row>
    <row r="23" spans="1:27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-2.7712992189669232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0</v>
      </c>
      <c r="E23" s="9">
        <f>[4]Table4.C!$P$10</f>
        <v>0.75580887790007001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0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-2.7712992189669232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0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-2.7712992189669232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[4]Table4.C!$D$10</f>
        <v>131.17552754540699</v>
      </c>
      <c r="Z23" s="25">
        <v>0</v>
      </c>
      <c r="AA23" s="26">
        <v>0</v>
      </c>
    </row>
    <row r="24" spans="1:27" x14ac:dyDescent="0.35">
      <c r="A24" s="22" t="s">
        <v>44</v>
      </c>
      <c r="B24" s="25">
        <v>0</v>
      </c>
      <c r="C24" s="25">
        <v>0</v>
      </c>
      <c r="D24" s="48" t="str">
        <f>'[4]Table4(III)'!$D$15</f>
        <v>NE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0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0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0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0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 t="str">
        <f>'[4]Table4(III)'!$B$15</f>
        <v>NE</v>
      </c>
      <c r="Z24" s="25">
        <v>0</v>
      </c>
      <c r="AA24" s="26">
        <v>0</v>
      </c>
    </row>
    <row r="25" spans="1:27" x14ac:dyDescent="0.35">
      <c r="A25" s="6" t="s">
        <v>45</v>
      </c>
      <c r="B25" s="49" t="str">
        <f>'[4]Table4(II)'!$G$30</f>
        <v>NE</v>
      </c>
      <c r="C25" s="48" t="str">
        <f>'[4]Table4(II)'!$I$30</f>
        <v>NE</v>
      </c>
      <c r="D25" s="48" t="str">
        <f>'[4]Table4(II)'!$H$30</f>
        <v>NE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'[4]Table4(II)'!$C$30</f>
        <v>NE</v>
      </c>
      <c r="Z25" s="25">
        <v>0</v>
      </c>
      <c r="AA25" s="26">
        <v>0</v>
      </c>
    </row>
    <row r="26" spans="1:27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0</v>
      </c>
      <c r="C26" s="48" t="str">
        <f>'[4]Table4(II)'!$I$26</f>
        <v>NO</v>
      </c>
      <c r="D26" s="25">
        <v>0</v>
      </c>
      <c r="E26" s="9" t="str">
        <f>[4]Table4.C!$Q$10</f>
        <v>NO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0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0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0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0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$5*44/12</f>
        <v>0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$5/1000</f>
        <v>0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$5*44/28000</f>
        <v>0</v>
      </c>
      <c r="P26" s="7">
        <f>N26*'GWP CFs'!$B$3</f>
        <v>0</v>
      </c>
      <c r="Q26" s="7">
        <f>O26*'GWP CFs'!$B$4</f>
        <v>0</v>
      </c>
      <c r="R26" s="11">
        <f>M26+P26+Q26</f>
        <v>0</v>
      </c>
      <c r="S26" s="18">
        <f>AA26*EFs!$B$5*44/12</f>
        <v>0</v>
      </c>
      <c r="T26" s="18">
        <f>AA26*0.95*EFs!$C$5/1000</f>
        <v>0</v>
      </c>
      <c r="U26" s="11">
        <f>AA26*EFs!$E$5*44/28000</f>
        <v>0</v>
      </c>
      <c r="V26" s="18">
        <f>T26*'GWP CFs'!$B$3</f>
        <v>0</v>
      </c>
      <c r="W26" s="18">
        <f>U26*'GWP CFs'!$B$4</f>
        <v>0</v>
      </c>
      <c r="X26" s="11">
        <f>S26+V26+W26</f>
        <v>0</v>
      </c>
      <c r="Y26" s="14" t="str">
        <f>[4]Table4.C!$E$10</f>
        <v>NO</v>
      </c>
      <c r="Z26" s="25">
        <v>0</v>
      </c>
      <c r="AA26" s="39">
        <v>0</v>
      </c>
    </row>
    <row r="27" spans="1:27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$5/1000</f>
        <v>0</v>
      </c>
      <c r="O27" s="10">
        <v>0</v>
      </c>
      <c r="P27" s="7">
        <f>N27*'GWP CFs'!$B$3</f>
        <v>0</v>
      </c>
      <c r="Q27" s="21">
        <v>0</v>
      </c>
      <c r="R27" s="11">
        <f>P27</f>
        <v>0</v>
      </c>
      <c r="S27" s="25">
        <v>0</v>
      </c>
      <c r="T27" s="18">
        <f>AA26*0.05*EFs!$D$5/1000</f>
        <v>0</v>
      </c>
      <c r="U27" s="26">
        <v>0</v>
      </c>
      <c r="V27" s="18">
        <f>T27*'GWP CFs'!$B$3</f>
        <v>0</v>
      </c>
      <c r="W27" s="25">
        <v>0</v>
      </c>
      <c r="X27" s="11">
        <f>V27</f>
        <v>0</v>
      </c>
      <c r="Y27" s="25">
        <v>0</v>
      </c>
      <c r="Z27" s="25">
        <v>0</v>
      </c>
      <c r="AA27" s="26">
        <v>0</v>
      </c>
    </row>
    <row r="28" spans="1:27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0</v>
      </c>
      <c r="T28" s="31">
        <f>T29+T30</f>
        <v>0</v>
      </c>
      <c r="U28" s="33">
        <f>U29</f>
        <v>0</v>
      </c>
      <c r="V28" s="31">
        <f>V29+V30</f>
        <v>0</v>
      </c>
      <c r="W28" s="31">
        <f>W29</f>
        <v>0</v>
      </c>
      <c r="X28" s="33">
        <f>X29+X30</f>
        <v>0</v>
      </c>
      <c r="Y28" s="34">
        <v>0</v>
      </c>
      <c r="Z28" s="34">
        <v>0</v>
      </c>
      <c r="AA28" s="30">
        <v>0</v>
      </c>
    </row>
    <row r="29" spans="1:27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0</v>
      </c>
      <c r="T29" s="18">
        <f>AA29*0.95*EFs!$C$9/1000</f>
        <v>0</v>
      </c>
      <c r="U29" s="11">
        <f>AA29*EFs!$E$9*44/28000</f>
        <v>0</v>
      </c>
      <c r="V29" s="18">
        <f>T29*'GWP CFs'!$B$3</f>
        <v>0</v>
      </c>
      <c r="W29" s="18">
        <f>U29*'GWP CFs'!$B$4</f>
        <v>0</v>
      </c>
      <c r="X29" s="11">
        <f>S29+V29+W29</f>
        <v>0</v>
      </c>
      <c r="Y29" s="25">
        <v>0</v>
      </c>
      <c r="Z29" s="25">
        <v>0</v>
      </c>
      <c r="AA29" s="39">
        <v>0</v>
      </c>
    </row>
    <row r="30" spans="1:27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0</v>
      </c>
      <c r="U30" s="42">
        <v>0</v>
      </c>
      <c r="V30" s="44">
        <f>T30*'GWP CFs'!$B$3</f>
        <v>0</v>
      </c>
      <c r="W30" s="90">
        <v>0</v>
      </c>
      <c r="X30" s="46">
        <f>V30</f>
        <v>0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zoomScale="60" zoomScaleNormal="60" workbookViewId="0">
      <selection activeCell="A30" sqref="A30:AA30"/>
    </sheetView>
  </sheetViews>
  <sheetFormatPr baseColWidth="10" defaultRowHeight="14.5" x14ac:dyDescent="0.35"/>
  <cols>
    <col min="1" max="1" width="47.7265625" customWidth="1"/>
  </cols>
  <sheetData>
    <row r="1" spans="1:27" ht="15" customHeight="1" x14ac:dyDescent="0.35">
      <c r="A1" s="137" t="s">
        <v>6</v>
      </c>
      <c r="B1" s="128" t="s">
        <v>5</v>
      </c>
      <c r="C1" s="129"/>
      <c r="D1" s="129"/>
      <c r="E1" s="130"/>
      <c r="F1" s="103" t="s">
        <v>125</v>
      </c>
      <c r="G1" s="104"/>
      <c r="H1" s="104"/>
      <c r="I1" s="105"/>
      <c r="J1" s="103" t="s">
        <v>126</v>
      </c>
      <c r="K1" s="104"/>
      <c r="L1" s="105"/>
      <c r="M1" s="103" t="s">
        <v>127</v>
      </c>
      <c r="N1" s="104"/>
      <c r="O1" s="105"/>
      <c r="P1" s="103" t="s">
        <v>129</v>
      </c>
      <c r="Q1" s="104"/>
      <c r="R1" s="105"/>
      <c r="S1" s="103" t="s">
        <v>128</v>
      </c>
      <c r="T1" s="104"/>
      <c r="U1" s="105"/>
      <c r="V1" s="103" t="s">
        <v>130</v>
      </c>
      <c r="W1" s="104"/>
      <c r="X1" s="105"/>
      <c r="Y1" s="128" t="s">
        <v>132</v>
      </c>
      <c r="Z1" s="129"/>
      <c r="AA1" s="130"/>
    </row>
    <row r="2" spans="1:27" x14ac:dyDescent="0.35">
      <c r="A2" s="138"/>
      <c r="B2" s="2" t="s">
        <v>1</v>
      </c>
      <c r="C2" s="2" t="s">
        <v>2</v>
      </c>
      <c r="D2" s="2" t="s">
        <v>3</v>
      </c>
      <c r="E2" s="3" t="s">
        <v>22</v>
      </c>
      <c r="F2" s="2" t="s">
        <v>2</v>
      </c>
      <c r="G2" s="2" t="s">
        <v>3</v>
      </c>
      <c r="H2" s="2" t="s">
        <v>40</v>
      </c>
      <c r="I2" s="3" t="s">
        <v>4</v>
      </c>
      <c r="J2" s="2" t="s">
        <v>2</v>
      </c>
      <c r="K2" s="2" t="s">
        <v>3</v>
      </c>
      <c r="L2" s="3" t="s">
        <v>40</v>
      </c>
      <c r="M2" s="2" t="s">
        <v>1</v>
      </c>
      <c r="N2" s="2" t="s">
        <v>2</v>
      </c>
      <c r="O2" s="3" t="s">
        <v>3</v>
      </c>
      <c r="P2" s="2" t="s">
        <v>2</v>
      </c>
      <c r="Q2" s="2" t="s">
        <v>3</v>
      </c>
      <c r="R2" s="2" t="s">
        <v>40</v>
      </c>
      <c r="S2" s="2" t="s">
        <v>1</v>
      </c>
      <c r="T2" s="2" t="s">
        <v>2</v>
      </c>
      <c r="U2" s="3" t="s">
        <v>3</v>
      </c>
      <c r="V2" s="2" t="s">
        <v>2</v>
      </c>
      <c r="W2" s="2" t="s">
        <v>3</v>
      </c>
      <c r="X2" s="3" t="s">
        <v>40</v>
      </c>
      <c r="Y2" s="2" t="s">
        <v>19</v>
      </c>
      <c r="Z2" s="2" t="s">
        <v>20</v>
      </c>
      <c r="AA2" s="3" t="s">
        <v>43</v>
      </c>
    </row>
    <row r="3" spans="1:27" x14ac:dyDescent="0.35">
      <c r="A3" s="5" t="s">
        <v>41</v>
      </c>
      <c r="B3" s="8">
        <f>[5]Summary1.As1!$B$7</f>
        <v>110164.41571773923</v>
      </c>
      <c r="C3" s="8">
        <f>[5]Summary1.As1!$C$7</f>
        <v>527.11379632841567</v>
      </c>
      <c r="D3" s="14">
        <f>[5]Summary1.As1!$D$7</f>
        <v>20.43753282112462</v>
      </c>
      <c r="E3" s="26">
        <v>0</v>
      </c>
      <c r="F3" s="8">
        <f>[5]Summary2!C7</f>
        <v>13177.844908210393</v>
      </c>
      <c r="G3" s="8">
        <f>[5]Summary2!D7</f>
        <v>6090.3847806951371</v>
      </c>
      <c r="H3" s="7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IF(F3="NO","0",IF(F3="NA","0",IF(F3="IE","0",IF(F3="NO,NA","0",IF(F3="NO,IE","0",IF(F3="NO,NE","0",IF(F3="","0",IF(F3="NO,NE,IE","0",IF(F3="NE","0",IF(F3="NA,NE","0",IF(F3="NE,NA","0",IF(F3="NE,NO","0",IF(F3="IE,NO","0",IF(F3="IE,NA","0",IF(F3="NA,NO","0",IF(F3="NO,NA","0",IF(F3="IE,NA,NO","0",IF(F3="IE,NE,NO","0",IF(F3="NO,NE,NA","0",IF(F3="NA,NE,NO","0",IF(F3="NO,NE,IE,NA","0",IF(F3="IE,NA,NE,NO","0",F3))))))))))))))))))))))+IF(G3="NO","0",IF(G3="NA","0",IF(G3="IE","0",IF(G3="NO,NA","0",IF(G3="NO,IE","0",IF(G3="NO,NE","0",IF(G3="","0",IF(G3="NO,NE,IE","0",IF(G3="NE","0",IF(G3="NA,NE","0",IF(G3="NE,NA","0",IF(G3="NE,NO","0",IF(G3="IE,NO","0",IF(G3="IE,NA","0",IF(G3="NA,NO","0",IF(G3="NO,NA","0",IF(G3="IE,NA,NO","0",IF(G3="IE,NE,NO","0",IF(G3="NO,NE,NA","0",IF(G3="NA,NE,NO","0",IF(G3="NO,NE,IE,NA","0",IF(G3="IE,NA,NE,NO","0",G3))))))))))))))))))))))</f>
        <v>129432.64540664476</v>
      </c>
      <c r="I3" s="9">
        <f>[5]Summary2!$J$7</f>
        <v>133243.74670105378</v>
      </c>
      <c r="J3" s="31">
        <f>IF(C3="NO","0",IF(C3="NA","0",IF(C3="IE","0",IF(C3="NO,NA","0",IF(C3="NO,IE","0",IF(C3="NO,NE","0",IF(C3="","0",IF(C3="NO,NE,IE","0",IF(C3="NE","0",IF(C3="NA,NE","0",IF(C3="NE,NA","0",IF(C3="NE,NO","0",IF(C3="IE,NO","0",IF(C3="IE,NA","0",IF(C3="NA,NO","0",IF(C3="NO,NA","0",IF(C3="IE,NA,NO","0",IF(C3="IE,NE,NO","0",IF(C3="NO,NE,NA","0",IF(C3="NA,NE,NO","0",IF(C3="NO,NE,IE,NA","0",IF(C3="IE,NA,NE,NO","0",C3))))))))))))))))))))))*'GWP CFs'!$B$3</f>
        <v>14759.18629719564</v>
      </c>
      <c r="K3" s="7">
        <f>IF(D3="NO","0",IF(D3="NA","0",IF(D3="IE","0",IF(D3="NO,NA","0",IF(D3="NO,IE","0",IF(D3="NO,NE","0",IF(D3="","0",IF(D3="NO,NE,IE","0",IF(D3="NE","0",IF(D3="NA,NE","0",IF(D3="NE,NA","0",IF(D3="NE,NO","0",IF(D3="IE,NO","0",IF(D3="IE,NA","0",IF(D3="NA,NO","0",IF(D3="NO,NA","0",IF(D3="IE,NA,NO","0",IF(D3="IE,NE,NO","0",IF(D3="NO,NE,NA","0",IF(D3="NA,NE,NO","0",IF(D3="NO,NE,IE,NA","0",IF(D3="IE,NA,NE,NO","0",D3))))))))))))))))))))))*'GWP CFs'!$B$4</f>
        <v>5415.9461975980239</v>
      </c>
      <c r="L3" s="35">
        <f>IF(B3="NO","0",IF(B3="NA","0",IF(B3="IE","0",IF(B3="NO,NA","0",IF(B3="NO,IE","0",IF(B3="NO,NE","0",IF(B3="","0",IF(B3="NO,NE,IE","0",IF(B3="NE","0",IF(B3="NA,NE","0",IF(B3="NE,NA","0",IF(B3="NE,NO","0",IF(B3="IE,NO","0",IF(B3="IE,NA","0",IF(B3="NA,NO","0",IF(B3="NO,NA","0",IF(B3="IE,NA,NO","0",IF(B3="IE,NE,NO","0",IF(B3="NO,NE,NA","0",IF(B3="NA,NE,NO","0",IF(B3="NO,NE,IE,NA","0",IF(B3="IE,NA,NE,NO","0",B3))))))))))))))))))))))+J3+K3</f>
        <v>130339.5482125329</v>
      </c>
      <c r="M3" s="24">
        <v>0</v>
      </c>
      <c r="N3" s="24">
        <v>0</v>
      </c>
      <c r="O3" s="24">
        <v>0</v>
      </c>
      <c r="P3" s="94">
        <v>0</v>
      </c>
      <c r="Q3" s="24">
        <v>0</v>
      </c>
      <c r="R3" s="26">
        <v>0</v>
      </c>
      <c r="S3" s="25">
        <v>0</v>
      </c>
      <c r="T3" s="25">
        <v>0</v>
      </c>
      <c r="U3" s="26">
        <v>0</v>
      </c>
      <c r="V3" s="94">
        <v>0</v>
      </c>
      <c r="W3" s="40">
        <v>0</v>
      </c>
      <c r="X3" s="43">
        <v>0</v>
      </c>
      <c r="Y3" s="94">
        <v>0</v>
      </c>
      <c r="Z3" s="40">
        <v>0</v>
      </c>
      <c r="AA3" s="43">
        <v>0</v>
      </c>
    </row>
    <row r="4" spans="1:27" x14ac:dyDescent="0.35">
      <c r="A4" s="28" t="s">
        <v>0</v>
      </c>
      <c r="B4" s="29">
        <f>[5]Summary1.As2!$B$8</f>
        <v>287.29225904761904</v>
      </c>
      <c r="C4" s="29">
        <f>[5]Summary1.As2!$C$8</f>
        <v>142.89360435542736</v>
      </c>
      <c r="D4" s="29">
        <f>[5]Summary1.As2!$D$8</f>
        <v>15.929078733758001</v>
      </c>
      <c r="E4" s="30">
        <v>0</v>
      </c>
      <c r="F4" s="29">
        <f>[5]Summary2!$C$28</f>
        <v>3572.3401088856845</v>
      </c>
      <c r="G4" s="29">
        <f>[5]Summary2!$D$28</f>
        <v>4746.8654626598836</v>
      </c>
      <c r="H4" s="31">
        <f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IF(F4="NO","0",IF(F4="NA","0",IF(F4="IE","0",IF(F4="NO,NA","0",IF(F4="NO,IE","0",IF(F4="NO,NE","0",IF(F4="","0",IF(F4="NO,NE,IE","0",IF(F4="NE","0",IF(F4="NA,NE","0",IF(F4="NE,NA","0",IF(F4="NE,NO","0",IF(F4="IE,NO","0",IF(F4="IE,NA","0",IF(F4="NA,NO","0",IF(F4="NO,NA","0",IF(F4="IE,NA,NO","0",IF(F4="IE,NE,NO","0",IF(F4="NO,NE,NA","0",IF(F4="NA,NE,NO","0",IF(F4="NO,NE,IE,NA","0",IF(F4="IE,NA,NE,NO","0",F4))))))))))))))))))))))+IF(G4="NO","0",IF(G4="NA","0",IF(G4="IE","0",IF(G4="NO,NA","0",IF(G4="NO,IE","0",IF(G4="NO,NE","0",IF(G4="","0",IF(G4="NO,NE,IE","0",IF(G4="NE","0",IF(G4="NA,NE","0",IF(G4="NE,NA","0",IF(G4="NE,NO","0",IF(G4="IE,NO","0",IF(G4="IE,NA","0",IF(G4="NA,NO","0",IF(G4="NO,NA","0",IF(G4="IE,NA,NO","0",IF(G4="IE,NE,NO","0",IF(G4="NO,NE,NA","0",IF(G4="NA,NE,NO","0",IF(G4="NO,NE,IE,NA","0",IF(G4="IE,NA,NE,NO","0",G4))))))))))))))))))))))</f>
        <v>8606.4978305931872</v>
      </c>
      <c r="I4" s="32">
        <f>[5]Summary2!$J$28</f>
        <v>8606.4978305931872</v>
      </c>
      <c r="J4" s="31">
        <f>IF(C4="NO","0",IF(C4="NA","0",IF(C4="IE","0",IF(C4="NO,NA","0",IF(C4="NO,IE","0",IF(C4="NO,NE","0",IF(C4="","0",IF(C4="NO,NE,IE","0",IF(C4="NE","0",IF(C4="NA,NE","0",IF(C4="NE,NA","0",IF(C4="NE,NO","0",IF(C4="IE,NO","0",IF(C4="IE,NA","0",IF(C4="NA,NO","0",IF(C4="NO,NA","0",IF(C4="IE,NA,NO","0",IF(C4="IE,NE,NO","0",IF(C4="NO,NE,NA","0",IF(C4="NA,NE,NO","0",IF(C4="NO,NE,IE,NA","0",IF(C4="IE,NA,NE,NO","0",C4))))))))))))))))))))))*'GWP CFs'!$B$3</f>
        <v>4001.0209219519661</v>
      </c>
      <c r="K4" s="31">
        <f>IF(D4="NO","0",IF(D4="NA","0",IF(D4="IE","0",IF(D4="NO,NA","0",IF(D4="NO,IE","0",IF(D4="NO,NE","0",IF(D4="","0",IF(D4="NO,NE,IE","0",IF(D4="NE","0",IF(D4="NA,NE","0",IF(D4="NE,NA","0",IF(D4="NE,NO","0",IF(D4="IE,NO","0",IF(D4="IE,NA","0",IF(D4="NA,NO","0",IF(D4="NO,NA","0",IF(D4="IE,NA,NO","0",IF(D4="IE,NE,NO","0",IF(D4="NO,NE,NA","0",IF(D4="NA,NE,NO","0",IF(D4="NO,NE,IE,NA","0",IF(D4="IE,NA,NE,NO","0",D4))))))))))))))))))))))*'GWP CFs'!$B$4</f>
        <v>4221.2058644458702</v>
      </c>
      <c r="L4" s="11">
        <f t="shared" ref="L4:L14" si="0">IF(B4="NO","0",IF(B4="NA","0",IF(B4="IE","0",IF(B4="NO,NA","0",IF(B4="NO,IE","0",IF(B4="NO,NE","0",IF(B4="","0",IF(B4="NO,NE,IE","0",IF(B4="NE","0",IF(B4="NA,NE","0",IF(B4="NE,NA","0",IF(B4="NE,NO","0",IF(B4="IE,NO","0",IF(B4="IE,NA","0",IF(B4="NA,NO","0",IF(B4="NO,NA","0",IF(B4="IE,NA,NO","0",IF(B4="IE,NE,NO","0",IF(B4="NO,NE,NA","0",IF(B4="NA,NE,NO","0",IF(B4="NO,NE,IE,NA","0",IF(B4="IE,NA,NE,NO","0",B4))))))))))))))))))))))+J4+K4</f>
        <v>8509.519045445455</v>
      </c>
      <c r="M4" s="34">
        <v>0</v>
      </c>
      <c r="N4" s="34">
        <v>0</v>
      </c>
      <c r="O4" s="30">
        <v>0</v>
      </c>
      <c r="P4" s="34">
        <v>0</v>
      </c>
      <c r="Q4" s="34">
        <v>0</v>
      </c>
      <c r="R4" s="30">
        <v>0</v>
      </c>
      <c r="S4" s="34">
        <v>0</v>
      </c>
      <c r="T4" s="34">
        <v>0</v>
      </c>
      <c r="U4" s="30">
        <v>0</v>
      </c>
      <c r="V4" s="25">
        <v>0</v>
      </c>
      <c r="W4" s="25">
        <v>0</v>
      </c>
      <c r="X4" s="26">
        <v>0</v>
      </c>
      <c r="Y4" s="25">
        <v>0</v>
      </c>
      <c r="Z4" s="25">
        <v>0</v>
      </c>
      <c r="AA4" s="26">
        <v>0</v>
      </c>
    </row>
    <row r="5" spans="1:27" x14ac:dyDescent="0.35">
      <c r="A5" s="4" t="s">
        <v>9</v>
      </c>
      <c r="B5" s="24">
        <v>0</v>
      </c>
      <c r="C5" s="14">
        <f>[5]Summary1.As2!$C$9</f>
        <v>121.57734060561205</v>
      </c>
      <c r="D5" s="21">
        <v>0</v>
      </c>
      <c r="E5" s="26">
        <v>0</v>
      </c>
      <c r="F5" s="8">
        <f>[5]Summary2!$C$29</f>
        <v>3039.4335151403011</v>
      </c>
      <c r="G5" s="25">
        <v>0</v>
      </c>
      <c r="H5" s="7">
        <f>IF(B5="NO","0",IF(B5="NA","0",IF(B5="IE","0",IF(B5="NO,NA","0",IF(B5="NO,IE","0",IF(B5="NO,NE","0",IF(B5="","0",IF(B5="NO,NE,IE","0",IF(B5="NE","0",IF(B5="NA,NE","0",IF(B5="NE,NA","0",IF(B5="NE,NO","0",IF(B5="IE,NO","0",IF(B5="IE,NA","0",IF(B5="NA,NO","0",IF(B5="NO,NA","0",IF(B5="IE,NA,NO","0",IF(B5="IE,NE,NO","0",IF(B5="NO,NE,NA","0",IF(B5="NA,NE,NO","0",IF(B5="NO,NE,IE,NA","0",IF(B5="IE,NA,NE,NO","0",B5))))))))))))))))))))))+IF(F5="NO","0",IF(F5="NA","0",IF(F5="IE","0",IF(F5="NO,NA","0",IF(F5="NO,IE","0",IF(F5="NO,NE","0",IF(F5="","0",IF(F5="NO,NE,IE","0",IF(F5="NE","0",IF(F5="NA,NE","0",IF(F5="NE,NA","0",IF(F5="NE,NO","0",IF(F5="IE,NO","0",IF(F5="IE,NA","0",IF(F5="NA,NO","0",IF(F5="NO,NA","0",IF(F5="IE,NA,NO","0",IF(F5="IE,NE,NO","0",IF(F5="NO,NE,NA","0",IF(F5="NA,NE,NO","0",IF(F5="NO,NE,IE,NA","0",IF(F5="IE,NA,NE,NO","0",F5))))))))))))))))))))))+IF(G5="NO","0",IF(G5="NA","0",IF(G5="IE","0",IF(G5="NO,NA","0",IF(G5="NO,IE","0",IF(G5="NO,NE","0",IF(G5="","0",IF(G5="NO,NE,IE","0",IF(G5="NE","0",IF(G5="NA,NE","0",IF(G5="NE,NA","0",IF(G5="NE,NO","0",IF(G5="IE,NO","0",IF(G5="IE,NA","0",IF(G5="NA,NO","0",IF(G5="NO,NA","0",IF(G5="IE,NA,NO","0",IF(G5="IE,NE,NO","0",IF(G5="NO,NE,NA","0",IF(G5="NA,NE,NO","0",IF(G5="NO,NE,IE,NA","0",IF(G5="IE,NA,NE,NO","0",G5))))))))))))))))))))))</f>
        <v>3039.4335151403011</v>
      </c>
      <c r="I5" s="14">
        <f>[5]Summary2!$J$29</f>
        <v>3039.4335151403011</v>
      </c>
      <c r="J5" s="17">
        <f>IF(C5="NO","0",IF(C5="NA","0",IF(C5="IE","0",IF(C5="NO,NA","0",IF(C5="NO,IE","0",IF(C5="NO,NE","0",IF(C5="","0",IF(C5="NO,NE,IE","0",IF(C5="NE","0",IF(C5="NA,NE","0",IF(C5="NE,NA","0",IF(C5="NE,NO","0",IF(C5="IE,NO","0",IF(C5="IE,NA","0",IF(C5="NA,NO","0",IF(C5="NO,NA","0",IF(C5="IE,NA,NO","0",IF(C5="IE,NE,NO","0",IF(C5="NO,NE,NA","0",IF(C5="NA,NE,NO","0",IF(C5="NO,NE,IE,NA","0",IF(C5="IE,NA,NE,NO","0",C5))))))))))))))))))))))*'GWP CFs'!$B$3</f>
        <v>3404.1655369571372</v>
      </c>
      <c r="K5" s="25">
        <v>0</v>
      </c>
      <c r="L5" s="11">
        <f t="shared" si="0"/>
        <v>3404.1655369571372</v>
      </c>
      <c r="M5" s="24">
        <v>0</v>
      </c>
      <c r="N5" s="24">
        <v>0</v>
      </c>
      <c r="O5" s="26">
        <v>0</v>
      </c>
      <c r="P5" s="25">
        <v>0</v>
      </c>
      <c r="Q5" s="25">
        <v>0</v>
      </c>
      <c r="R5" s="26">
        <v>0</v>
      </c>
      <c r="S5" s="24">
        <v>0</v>
      </c>
      <c r="T5" s="24">
        <v>0</v>
      </c>
      <c r="U5" s="26">
        <v>0</v>
      </c>
      <c r="V5" s="25">
        <v>0</v>
      </c>
      <c r="W5" s="25">
        <v>0</v>
      </c>
      <c r="X5" s="26">
        <v>0</v>
      </c>
      <c r="Y5" s="25">
        <v>0</v>
      </c>
      <c r="Z5" s="25">
        <v>0</v>
      </c>
      <c r="AA5" s="26">
        <v>0</v>
      </c>
    </row>
    <row r="6" spans="1:27" x14ac:dyDescent="0.35">
      <c r="A6" s="4" t="s">
        <v>10</v>
      </c>
      <c r="B6" s="24">
        <v>0</v>
      </c>
      <c r="C6" s="14">
        <f>[5]Summary1.As2!$C$10</f>
        <v>21.31626374981532</v>
      </c>
      <c r="D6" s="14">
        <f>[5]Summary1.As2!$D$10</f>
        <v>1.7366988534044401</v>
      </c>
      <c r="E6" s="26">
        <v>0</v>
      </c>
      <c r="F6" s="8">
        <f>[5]Summary2!C30</f>
        <v>532.90659374538302</v>
      </c>
      <c r="G6" s="14">
        <f>[5]Summary2!D30</f>
        <v>517.53625831452314</v>
      </c>
      <c r="H6" s="7">
        <f t="shared" ref="H6:H15" si="1">IF(B6="NO","0",IF(B6="NA","0",IF(B6="IE","0",IF(B6="NO,NA","0",IF(B6="NO,IE","0",IF(B6="NO,NE","0",IF(B6="","0",IF(B6="NO,NE,IE","0",IF(B6="NE","0",IF(B6="NA,NE","0",IF(B6="NE,NA","0",IF(B6="NE,NO","0",IF(B6="IE,NO","0",IF(B6="IE,NA","0",IF(B6="NA,NO","0",IF(B6="NO,NA","0",IF(B6="IE,NA,NO","0",IF(B6="IE,NE,NO","0",IF(B6="NO,NE,NA","0",IF(B6="NA,NE,NO","0",IF(B6="NO,NE,IE,NA","0",IF(B6="IE,NA,NE,NO","0",B6))))))))))))))))))))))+IF(F6="NO","0",IF(F6="NA","0",IF(F6="IE","0",IF(F6="NO,NA","0",IF(F6="NO,IE","0",IF(F6="NO,NE","0",IF(F6="","0",IF(F6="NO,NE,IE","0",IF(F6="NE","0",IF(F6="NA,NE","0",IF(F6="NE,NA","0",IF(F6="NE,NO","0",IF(F6="IE,NO","0",IF(F6="IE,NA","0",IF(F6="NA,NO","0",IF(F6="NO,NA","0",IF(F6="IE,NA,NO","0",IF(F6="IE,NE,NO","0",IF(F6="NO,NE,NA","0",IF(F6="NA,NE,NO","0",IF(F6="NO,NE,IE,NA","0",IF(F6="IE,NA,NE,NO","0",F6))))))))))))))))))))))+IF(G6="NO","0",IF(G6="NA","0",IF(G6="IE","0",IF(G6="NO,NA","0",IF(G6="NO,IE","0",IF(G6="NO,NE","0",IF(G6="","0",IF(G6="NO,NE,IE","0",IF(G6="NE","0",IF(G6="NA,NE","0",IF(G6="NE,NA","0",IF(G6="NE,NO","0",IF(G6="IE,NO","0",IF(G6="IE,NA","0",IF(G6="NA,NO","0",IF(G6="NO,NA","0",IF(G6="IE,NA,NO","0",IF(G6="IE,NE,NO","0",IF(G6="NO,NE,NA","0",IF(G6="NA,NE,NO","0",IF(G6="NO,NE,IE,NA","0",IF(G6="IE,NA,NE,NO","0",G6))))))))))))))))))))))</f>
        <v>1050.4428520599063</v>
      </c>
      <c r="I6" s="14">
        <f>[5]Summary2!$J$30</f>
        <v>1050.442852059906</v>
      </c>
      <c r="J6" s="17">
        <f>IF(C6="NO","0",IF(C6="NA","0",IF(C6="IE","0",IF(C6="NO,NA","0",IF(C6="NO,IE","0",IF(C6="NO,NE","0",IF(C6="","0",IF(C6="NO,NE,IE","0",IF(C6="NE","0",IF(C6="NA,NE","0",IF(C6="NE,NA","0",IF(C6="NE,NO","0",IF(C6="IE,NO","0",IF(C6="IE,NA","0",IF(C6="NA,NO","0",IF(C6="NO,NA","0",IF(C6="IE,NA,NO","0",IF(C6="IE,NE,NO","0",IF(C6="NO,NE,NA","0",IF(C6="NA,NE,NO","0",IF(C6="NO,NE,IE,NA","0",IF(C6="IE,NA,NE,NO","0",C6))))))))))))))))))))))*'GWP CFs'!$B$3</f>
        <v>596.85538499482891</v>
      </c>
      <c r="K6" s="20">
        <f>IF(D6="NO","0",IF(D6="NA","0",IF(D6="IE","0",IF(D6="NO,NA","0",IF(D6="NO,IE","0",IF(D6="NO,NE","0",IF(D6="","0",IF(D6="NO,NE,IE","0",IF(D6="NE","0",IF(D6="NA,NE","0",IF(D6="NE,NA","0",IF(D6="NE,NO","0",IF(D6="IE,NO","0",IF(D6="IE,NA","0",IF(D6="NA,NO","0",IF(D6="NO,NA","0",IF(D6="IE,NA,NO","0",IF(D6="IE,NE,NO","0",IF(D6="NO,NE,NA","0",IF(D6="NA,NE,NO","0",IF(D6="NO,NE,IE,NA","0",IF(D6="IE,NA,NE,NO","0",D6))))))))))))))))))))))*'GWP CFs'!$B$4</f>
        <v>460.22519615217664</v>
      </c>
      <c r="L6" s="11">
        <f t="shared" si="0"/>
        <v>1057.0805811470054</v>
      </c>
      <c r="M6" s="24">
        <v>0</v>
      </c>
      <c r="N6" s="24">
        <v>0</v>
      </c>
      <c r="O6" s="26">
        <v>0</v>
      </c>
      <c r="P6" s="25">
        <v>0</v>
      </c>
      <c r="Q6" s="25">
        <v>0</v>
      </c>
      <c r="R6" s="26">
        <v>0</v>
      </c>
      <c r="S6" s="24">
        <v>0</v>
      </c>
      <c r="T6" s="24">
        <v>0</v>
      </c>
      <c r="U6" s="26">
        <v>0</v>
      </c>
      <c r="V6" s="25">
        <v>0</v>
      </c>
      <c r="W6" s="25">
        <v>0</v>
      </c>
      <c r="X6" s="26">
        <v>0</v>
      </c>
      <c r="Y6" s="25">
        <v>0</v>
      </c>
      <c r="Z6" s="25">
        <v>0</v>
      </c>
      <c r="AA6" s="26">
        <v>0</v>
      </c>
    </row>
    <row r="7" spans="1:27" x14ac:dyDescent="0.35">
      <c r="A7" s="4" t="s">
        <v>11</v>
      </c>
      <c r="B7" s="24">
        <v>0</v>
      </c>
      <c r="C7" s="14" t="str">
        <f>[5]Table3s2!$C$7</f>
        <v>NO</v>
      </c>
      <c r="D7" s="21">
        <v>0</v>
      </c>
      <c r="E7" s="26">
        <v>0</v>
      </c>
      <c r="F7" s="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CFs'!$C$3</f>
        <v>0</v>
      </c>
      <c r="G7" s="25">
        <v>0</v>
      </c>
      <c r="H7" s="7">
        <f t="shared" si="1"/>
        <v>0</v>
      </c>
      <c r="I7" s="25">
        <v>0</v>
      </c>
      <c r="J7" s="17">
        <f>IF(C7="NO","0",IF(C7="NA","0",IF(C7="IE","0",IF(C7="NO,NA","0",IF(C7="NO,IE","0",IF(C7="NO,NE","0",IF(C7="","0",IF(C7="NO,NE,IE","0",IF(C7="NE","0",IF(C7="NA,NE","0",IF(C7="NE,NA","0",IF(C7="NE,NO","0",IF(C7="IE,NO","0",IF(C7="IE,NA","0",IF(C7="NA,NO","0",IF(C7="NO,NA","0",IF(C7="IE,NA,NO","0",IF(C7="IE,NE,NO","0",IF(C7="NO,NE,NA","0",IF(C7="NA,NE,NO","0",IF(C7="NO,NE,IE,NA","0",IF(C7="IE,NA,NE,NO","0",C7))))))))))))))))))))))*'GWP CFs'!$B$3</f>
        <v>0</v>
      </c>
      <c r="K7" s="25">
        <v>0</v>
      </c>
      <c r="L7" s="11">
        <f t="shared" si="0"/>
        <v>0</v>
      </c>
      <c r="M7" s="24">
        <v>0</v>
      </c>
      <c r="N7" s="24">
        <v>0</v>
      </c>
      <c r="O7" s="26">
        <v>0</v>
      </c>
      <c r="P7" s="25">
        <v>0</v>
      </c>
      <c r="Q7" s="25">
        <v>0</v>
      </c>
      <c r="R7" s="26">
        <v>0</v>
      </c>
      <c r="S7" s="24">
        <v>0</v>
      </c>
      <c r="T7" s="24">
        <v>0</v>
      </c>
      <c r="U7" s="26">
        <v>0</v>
      </c>
      <c r="V7" s="25">
        <v>0</v>
      </c>
      <c r="W7" s="25">
        <v>0</v>
      </c>
      <c r="X7" s="26">
        <v>0</v>
      </c>
      <c r="Y7" s="25">
        <v>0</v>
      </c>
      <c r="Z7" s="25">
        <v>0</v>
      </c>
      <c r="AA7" s="26">
        <v>0</v>
      </c>
    </row>
    <row r="8" spans="1:27" x14ac:dyDescent="0.35">
      <c r="A8" s="4" t="s">
        <v>12</v>
      </c>
      <c r="B8" s="24">
        <v>0</v>
      </c>
      <c r="C8" s="14" t="str">
        <f>[5]Summary1.As2!$C$12</f>
        <v>NA,NE</v>
      </c>
      <c r="D8" s="14">
        <f>[5]Summary1.As2!$D$12</f>
        <v>14.19237988035356</v>
      </c>
      <c r="E8" s="26">
        <v>0</v>
      </c>
      <c r="F8" s="7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CFs'!$C$3</f>
        <v>0</v>
      </c>
      <c r="G8" s="14">
        <f>[5]Summary2!$D$32</f>
        <v>4229.3292043453612</v>
      </c>
      <c r="H8" s="7">
        <f t="shared" si="1"/>
        <v>4229.3292043453612</v>
      </c>
      <c r="I8" s="9">
        <f>[5]Summary2!$J$32</f>
        <v>4229.3292043453612</v>
      </c>
      <c r="J8" s="18">
        <f>IF(C8="NO","0",IF(C8="NA","0",IF(C8="IE","0",IF(C8="NO,NA","0",IF(C8="NO,IE","0",IF(C8="NO,NE","0",IF(C8="","0",IF(C8="NO,NE,IE","0",IF(C8="NE","0",IF(C8="NA,NE","0",IF(C8="NE,NA","0",IF(C8="NE,NO","0",IF(C8="IE,NO","0",IF(C8="IE,NA","0",IF(C8="NA,NO","0",IF(C8="NO,NA","0",IF(C8="IE,NA,NO","0",IF(C8="IE,NE,NO","0",IF(C8="NO,NE,NA","0",IF(C8="NA,NE,NO","0",IF(C8="NO,NE,IE,NA","0",IF(C8="IE,NA,NE,NO","0",C8))))))))))))))))))))))*'GWP CFs'!$B$3</f>
        <v>0</v>
      </c>
      <c r="K8" s="18">
        <f>IF(D8="NO","0",IF(D8="NA","0",IF(D8="IE","0",IF(D8="NO,NA","0",IF(D8="NO,IE","0",IF(D8="NO,NE","0",IF(D8="","0",IF(D8="NO,NE,IE","0",IF(D8="NE","0",IF(D8="NA,NE","0",IF(D8="NE,NA","0",IF(D8="NE,NO","0",IF(D8="IE,NO","0",IF(D8="IE,NA","0",IF(D8="NA,NO","0",IF(D8="NO,NA","0",IF(D8="IE,NA,NO","0",IF(D8="IE,NE,NO","0",IF(D8="NO,NE,NA","0",IF(D8="NA,NE,NO","0",IF(D8="NO,NE,IE,NA","0",IF(D8="IE,NA,NE,NO","0",D8))))))))))))))))))))))*'GWP CFs'!$B$4</f>
        <v>3760.9806682936933</v>
      </c>
      <c r="L8" s="11">
        <f t="shared" si="0"/>
        <v>3760.9806682936933</v>
      </c>
      <c r="M8" s="24">
        <v>0</v>
      </c>
      <c r="N8" s="24">
        <v>0</v>
      </c>
      <c r="O8" s="26">
        <v>0</v>
      </c>
      <c r="P8" s="25">
        <v>0</v>
      </c>
      <c r="Q8" s="25">
        <v>0</v>
      </c>
      <c r="R8" s="26">
        <v>0</v>
      </c>
      <c r="S8" s="24">
        <v>0</v>
      </c>
      <c r="T8" s="24">
        <v>0</v>
      </c>
      <c r="U8" s="26">
        <v>0</v>
      </c>
      <c r="V8" s="25">
        <v>0</v>
      </c>
      <c r="W8" s="25">
        <v>0</v>
      </c>
      <c r="X8" s="26">
        <v>0</v>
      </c>
      <c r="Y8" s="25">
        <v>0</v>
      </c>
      <c r="Z8" s="25">
        <v>0</v>
      </c>
      <c r="AA8" s="26">
        <v>0</v>
      </c>
    </row>
    <row r="9" spans="1:27" x14ac:dyDescent="0.35">
      <c r="A9" s="4" t="s">
        <v>42</v>
      </c>
      <c r="B9" s="24">
        <v>0</v>
      </c>
      <c r="C9" s="21">
        <v>0</v>
      </c>
      <c r="D9" s="14" t="str">
        <f>[5]Table3.D!$E$17</f>
        <v>NO</v>
      </c>
      <c r="E9" s="26">
        <v>0</v>
      </c>
      <c r="F9" s="25">
        <v>0</v>
      </c>
      <c r="G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CFs'!$C$4</f>
        <v>0</v>
      </c>
      <c r="H9" s="7">
        <f t="shared" si="1"/>
        <v>0</v>
      </c>
      <c r="I9" s="26">
        <v>0</v>
      </c>
      <c r="J9" s="12">
        <v>0</v>
      </c>
      <c r="K9" s="18">
        <f>IF(D9="NO","0",IF(D9="NA","0",IF(D9="IE","0",IF(D9="NO,NA","0",IF(D9="NO,IE","0",IF(D9="NO,NE","0",IF(D9="","0",IF(D9="NO,NE,IE","0",IF(D9="NE","0",IF(D9="NA,NE","0",IF(D9="NE,NA","0",IF(D9="NE,NO","0",IF(D9="IE,NO","0",IF(D9="IE,NA","0",IF(D9="NA,NO","0",IF(D9="NO,NA","0",IF(D9="IE,NA,NO","0",IF(D9="IE,NE,NO","0",IF(D9="NO,NE,NA","0",IF(D9="NA,NE,NO","0",IF(D9="NO,NE,IE,NA","0",IF(D9="IE,NA,NE,NO","0",D9))))))))))))))))))))))*'GWP CFs'!$B$4</f>
        <v>0</v>
      </c>
      <c r="L9" s="11">
        <f t="shared" si="0"/>
        <v>0</v>
      </c>
      <c r="M9" s="24">
        <v>0</v>
      </c>
      <c r="N9" s="24">
        <v>0</v>
      </c>
      <c r="O9" s="26">
        <v>0</v>
      </c>
      <c r="P9" s="25">
        <v>0</v>
      </c>
      <c r="Q9" s="25">
        <v>0</v>
      </c>
      <c r="R9" s="26">
        <v>0</v>
      </c>
      <c r="S9" s="24">
        <v>0</v>
      </c>
      <c r="T9" s="24">
        <v>0</v>
      </c>
      <c r="U9" s="26">
        <v>0</v>
      </c>
      <c r="V9" s="25">
        <v>0</v>
      </c>
      <c r="W9" s="25">
        <v>0</v>
      </c>
      <c r="X9" s="26">
        <v>0</v>
      </c>
      <c r="Y9" s="18">
        <f>IF(Z9="NO","0",IF(Z9="NA","0",IF(Z9="IE","0",IF(Z9="NO,NA","0",IF(Z9="NO,IE","0",IF(Z9="NO,NE","0",IF(Z9="","0",IF(Z9="NO,NE,IE","0",IF(Z9="NE","0",IF(Z9="NA,NE","0",IF(Z9="NE,NA","0",IF(Z9="NE,NO","0",IF(Z9="IE,NO","0",IF(Z9="IE,NA","0",IF(Z9="NA,NO","0",IF(Z9="NO,NA","0",IF(Z9="IE,NA,NO","0",IF(Z9="IE,NE,NO","0",IF(Z9="NO,NE,NA","0",IF(Z9="NA,NE,NO","0",IF(Z9="NO,NE,IE,NA","0",IF(Z9="IE,NA,NE,NO","0",Z9))))))))))))))))))))))/1000</f>
        <v>0</v>
      </c>
      <c r="Z9" s="14" t="str">
        <f>[5]Table3.D!$C$17</f>
        <v>NO</v>
      </c>
      <c r="AA9" s="26">
        <v>0</v>
      </c>
    </row>
    <row r="10" spans="1:27" x14ac:dyDescent="0.35">
      <c r="A10" s="4" t="s">
        <v>13</v>
      </c>
      <c r="B10" s="24">
        <v>0</v>
      </c>
      <c r="C10" s="14" t="str">
        <f>[5]Table3s2!C9</f>
        <v>NO</v>
      </c>
      <c r="D10" s="14" t="str">
        <f>[5]Table3s2!D9</f>
        <v>NO</v>
      </c>
      <c r="E10" s="26">
        <v>0</v>
      </c>
      <c r="F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CFs'!$C$3</f>
        <v>0</v>
      </c>
      <c r="G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CFs'!$C$4</f>
        <v>0</v>
      </c>
      <c r="H10" s="7">
        <f t="shared" si="1"/>
        <v>0</v>
      </c>
      <c r="I10" s="26">
        <v>0</v>
      </c>
      <c r="J10" s="7">
        <f>IF(C10="NO","0",IF(C10="NA","0",IF(C10="IE","0",IF(C10="NO,NA","0",IF(C10="NO,IE","0",IF(C10="NO,NE","0",IF(C10="","0",IF(C10="NO,NE,IE","0",IF(C10="NE","0",IF(C10="NA,NE","0",IF(C10="NE,NA","0",IF(C10="NE,NO","0",IF(C10="IE,NO","0",IF(C10="IE,NA","0",IF(C10="NA,NO","0",IF(C10="NO,NA","0",IF(C10="IE,NA,NO","0",IF(C10="IE,NE,NO","0",IF(C10="NO,NE,NA","0",IF(C10="NA,NE,NO","0",IF(C10="NO,NE,IE,NA","0",IF(C10="IE,NA,NE,NO","0",C10))))))))))))))))))))))*'GWP CFs'!$B$3</f>
        <v>0</v>
      </c>
      <c r="K10" s="18">
        <f>IF(D10="NO","0",IF(D10="NA","0",IF(D10="IE","0",IF(D10="NO,NA","0",IF(D10="NO,IE","0",IF(D10="NO,NE","0",IF(D10="","0",IF(D10="NO,NE,IE","0",IF(D10="NE","0",IF(D10="NA,NE","0",IF(D10="NE,NA","0",IF(D10="NE,NO","0",IF(D10="IE,NO","0",IF(D10="IE,NA","0",IF(D10="NA,NO","0",IF(D10="NO,NA","0",IF(D10="IE,NA,NO","0",IF(D10="IE,NE,NO","0",IF(D10="NO,NE,NA","0",IF(D10="NA,NE,NO","0",IF(D10="NO,NE,IE,NA","0",IF(D10="IE,NA,NE,NO","0",D10))))))))))))))))))))))*'GWP CFs'!$B$4</f>
        <v>0</v>
      </c>
      <c r="L10" s="11">
        <f t="shared" si="0"/>
        <v>0</v>
      </c>
      <c r="M10" s="24">
        <v>0</v>
      </c>
      <c r="N10" s="24">
        <v>0</v>
      </c>
      <c r="O10" s="26">
        <v>0</v>
      </c>
      <c r="P10" s="25">
        <v>0</v>
      </c>
      <c r="Q10" s="25">
        <v>0</v>
      </c>
      <c r="R10" s="26">
        <v>0</v>
      </c>
      <c r="S10" s="24">
        <v>0</v>
      </c>
      <c r="T10" s="24">
        <v>0</v>
      </c>
      <c r="U10" s="26">
        <v>0</v>
      </c>
      <c r="V10" s="25">
        <v>0</v>
      </c>
      <c r="W10" s="25">
        <v>0</v>
      </c>
      <c r="X10" s="26">
        <v>0</v>
      </c>
      <c r="Y10" s="25">
        <v>0</v>
      </c>
      <c r="Z10" s="25">
        <v>0</v>
      </c>
      <c r="AA10" s="26">
        <v>0</v>
      </c>
    </row>
    <row r="11" spans="1:27" x14ac:dyDescent="0.35">
      <c r="A11" s="4" t="s">
        <v>14</v>
      </c>
      <c r="B11" s="24">
        <v>0</v>
      </c>
      <c r="C11" s="14" t="str">
        <f>[5]Table3s2!C10</f>
        <v>NO</v>
      </c>
      <c r="D11" s="14" t="str">
        <f>[5]Table3s2!D10</f>
        <v>NO</v>
      </c>
      <c r="E11" s="26">
        <v>0</v>
      </c>
      <c r="F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CFs'!$C$3</f>
        <v>0</v>
      </c>
      <c r="G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CFs'!$C$4</f>
        <v>0</v>
      </c>
      <c r="H11" s="7">
        <f t="shared" si="1"/>
        <v>0</v>
      </c>
      <c r="I11" s="26">
        <v>0</v>
      </c>
      <c r="J11" s="7">
        <f>IF(C11="NO","0",IF(C11="NA","0",IF(C11="IE","0",IF(C11="NO,NA","0",IF(C11="NO,IE","0",IF(C11="NO,NE","0",IF(C11="","0",IF(C11="NO,NE,IE","0",IF(C11="NE","0",IF(C11="NA,NE","0",IF(C11="NE,NA","0",IF(C11="NE,NO","0",IF(C11="IE,NO","0",IF(C11="IE,NA","0",IF(C11="NA,NO","0",IF(C11="NO,NA","0",IF(C11="IE,NA,NO","0",IF(C11="IE,NE,NO","0",IF(C11="NO,NE,NA","0",IF(C11="NA,NE,NO","0",IF(C11="NO,NE,IE,NA","0",IF(C11="IE,NA,NE,NO","0",C11))))))))))))))))))))))*'GWP CFs'!$B$3</f>
        <v>0</v>
      </c>
      <c r="K11" s="18">
        <f>IF(D11="NO","0",IF(D11="NA","0",IF(D11="IE","0",IF(D11="NO,NA","0",IF(D11="NO,IE","0",IF(D11="NO,NE","0",IF(D11="","0",IF(D11="NO,NE,IE","0",IF(D11="NE","0",IF(D11="NA,NE","0",IF(D11="NE,NA","0",IF(D11="NE,NO","0",IF(D11="IE,NO","0",IF(D11="IE,NA","0",IF(D11="NA,NO","0",IF(D11="NO,NA","0",IF(D11="IE,NA,NO","0",IF(D11="IE,NE,NO","0",IF(D11="NO,NE,NA","0",IF(D11="NA,NE,NO","0",IF(D11="NO,NE,IE,NA","0",IF(D11="IE,NA,NE,NO","0",D11))))))))))))))))))))))*'GWP CFs'!$B$4</f>
        <v>0</v>
      </c>
      <c r="L11" s="11">
        <f t="shared" si="0"/>
        <v>0</v>
      </c>
      <c r="M11" s="24">
        <v>0</v>
      </c>
      <c r="N11" s="24">
        <v>0</v>
      </c>
      <c r="O11" s="26">
        <v>0</v>
      </c>
      <c r="P11" s="25">
        <v>0</v>
      </c>
      <c r="Q11" s="25">
        <v>0</v>
      </c>
      <c r="R11" s="26">
        <v>0</v>
      </c>
      <c r="S11" s="24">
        <v>0</v>
      </c>
      <c r="T11" s="24">
        <v>0</v>
      </c>
      <c r="U11" s="26">
        <v>0</v>
      </c>
      <c r="V11" s="25">
        <v>0</v>
      </c>
      <c r="W11" s="25">
        <v>0</v>
      </c>
      <c r="X11" s="26">
        <v>0</v>
      </c>
      <c r="Y11" s="25">
        <v>0</v>
      </c>
      <c r="Z11" s="25">
        <v>0</v>
      </c>
      <c r="AA11" s="26">
        <v>0</v>
      </c>
    </row>
    <row r="12" spans="1:27" x14ac:dyDescent="0.35">
      <c r="A12" s="4" t="s">
        <v>15</v>
      </c>
      <c r="B12" s="8">
        <f>[5]Table3s2!B11</f>
        <v>161.36897333333334</v>
      </c>
      <c r="C12" s="25">
        <v>0</v>
      </c>
      <c r="D12" s="25">
        <v>0</v>
      </c>
      <c r="E12" s="26">
        <v>0</v>
      </c>
      <c r="F12" s="25">
        <v>0</v>
      </c>
      <c r="G12" s="25">
        <v>0</v>
      </c>
      <c r="H12" s="7">
        <f t="shared" si="1"/>
        <v>161.36897333333334</v>
      </c>
      <c r="I12" s="26">
        <v>0</v>
      </c>
      <c r="J12" s="25">
        <v>0</v>
      </c>
      <c r="K12" s="25">
        <v>0</v>
      </c>
      <c r="L12" s="11">
        <f t="shared" si="0"/>
        <v>161.36897333333334</v>
      </c>
      <c r="M12" s="24">
        <v>0</v>
      </c>
      <c r="N12" s="24">
        <v>0</v>
      </c>
      <c r="O12" s="26">
        <v>0</v>
      </c>
      <c r="P12" s="25">
        <v>0</v>
      </c>
      <c r="Q12" s="25">
        <v>0</v>
      </c>
      <c r="R12" s="26">
        <v>0</v>
      </c>
      <c r="S12" s="24">
        <v>0</v>
      </c>
      <c r="T12" s="24">
        <v>0</v>
      </c>
      <c r="U12" s="26">
        <v>0</v>
      </c>
      <c r="V12" s="25">
        <v>0</v>
      </c>
      <c r="W12" s="25">
        <v>0</v>
      </c>
      <c r="X12" s="26">
        <v>0</v>
      </c>
      <c r="Y12" s="25">
        <v>0</v>
      </c>
      <c r="Z12" s="25">
        <v>0</v>
      </c>
      <c r="AA12" s="26">
        <v>0</v>
      </c>
    </row>
    <row r="13" spans="1:27" x14ac:dyDescent="0.35">
      <c r="A13" s="4" t="s">
        <v>16</v>
      </c>
      <c r="B13" s="8">
        <f>[5]Table3s2!B12</f>
        <v>125.9232857142857</v>
      </c>
      <c r="C13" s="25">
        <v>0</v>
      </c>
      <c r="D13" s="25">
        <v>0</v>
      </c>
      <c r="E13" s="26">
        <v>0</v>
      </c>
      <c r="F13" s="25">
        <v>0</v>
      </c>
      <c r="G13" s="25">
        <v>0</v>
      </c>
      <c r="H13" s="7">
        <f t="shared" si="1"/>
        <v>125.9232857142857</v>
      </c>
      <c r="I13" s="26">
        <v>0</v>
      </c>
      <c r="J13" s="25">
        <v>0</v>
      </c>
      <c r="K13" s="25">
        <v>0</v>
      </c>
      <c r="L13" s="11">
        <f t="shared" si="0"/>
        <v>125.9232857142857</v>
      </c>
      <c r="M13" s="24">
        <v>0</v>
      </c>
      <c r="N13" s="24">
        <v>0</v>
      </c>
      <c r="O13" s="26">
        <v>0</v>
      </c>
      <c r="P13" s="25">
        <v>0</v>
      </c>
      <c r="Q13" s="25">
        <v>0</v>
      </c>
      <c r="R13" s="26">
        <v>0</v>
      </c>
      <c r="S13" s="24">
        <v>0</v>
      </c>
      <c r="T13" s="24">
        <v>0</v>
      </c>
      <c r="U13" s="26">
        <v>0</v>
      </c>
      <c r="V13" s="25">
        <v>0</v>
      </c>
      <c r="W13" s="25">
        <v>0</v>
      </c>
      <c r="X13" s="26">
        <v>0</v>
      </c>
      <c r="Y13" s="25">
        <v>0</v>
      </c>
      <c r="Z13" s="25">
        <v>0</v>
      </c>
      <c r="AA13" s="26">
        <v>0</v>
      </c>
    </row>
    <row r="14" spans="1:27" x14ac:dyDescent="0.35">
      <c r="A14" s="4" t="s">
        <v>17</v>
      </c>
      <c r="B14" s="8" t="str">
        <f>[5]Table3s2!B13</f>
        <v>NO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7">
        <f t="shared" si="1"/>
        <v>0</v>
      </c>
      <c r="I14" s="26">
        <v>0</v>
      </c>
      <c r="J14" s="25">
        <v>0</v>
      </c>
      <c r="K14" s="25">
        <v>0</v>
      </c>
      <c r="L14" s="11">
        <f t="shared" si="0"/>
        <v>0</v>
      </c>
      <c r="M14" s="24">
        <v>0</v>
      </c>
      <c r="N14" s="24">
        <v>0</v>
      </c>
      <c r="O14" s="26">
        <v>0</v>
      </c>
      <c r="P14" s="25">
        <v>0</v>
      </c>
      <c r="Q14" s="25">
        <v>0</v>
      </c>
      <c r="R14" s="26">
        <v>0</v>
      </c>
      <c r="S14" s="24">
        <v>0</v>
      </c>
      <c r="T14" s="24">
        <v>0</v>
      </c>
      <c r="U14" s="26">
        <v>0</v>
      </c>
      <c r="V14" s="25">
        <v>0</v>
      </c>
      <c r="W14" s="25">
        <v>0</v>
      </c>
      <c r="X14" s="26">
        <v>0</v>
      </c>
      <c r="Y14" s="25">
        <v>0</v>
      </c>
      <c r="Z14" s="25">
        <v>0</v>
      </c>
      <c r="AA14" s="26">
        <v>0</v>
      </c>
    </row>
    <row r="15" spans="1:27" x14ac:dyDescent="0.35">
      <c r="A15" s="4" t="s">
        <v>18</v>
      </c>
      <c r="B15" s="8" t="str">
        <f>[5]Table3s2!B14</f>
        <v>NO</v>
      </c>
      <c r="C15" s="14" t="str">
        <f>[5]Table3s2!C14</f>
        <v>NO</v>
      </c>
      <c r="D15" s="14" t="str">
        <f>[5]Table3s2!D14</f>
        <v>NO</v>
      </c>
      <c r="E15" s="26">
        <v>0</v>
      </c>
      <c r="F15" s="15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CFs'!$C$3</f>
        <v>0</v>
      </c>
      <c r="G15" s="20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CFs'!$C$4</f>
        <v>0</v>
      </c>
      <c r="H15" s="7">
        <f t="shared" si="1"/>
        <v>0</v>
      </c>
      <c r="I15" s="26">
        <v>0</v>
      </c>
      <c r="J15" s="7">
        <f>IF(C15="NO","0",IF(C15="NA","0",IF(C15="IE","0",IF(C15="NO,NA","0",IF(C15="NO,IE","0",IF(C15="NO,NE","0",IF(C15="","0",IF(C15="NO,NE,IE","0",IF(C15="NE","0",IF(C15="NA,NE","0",IF(C15="NE,NA","0",IF(C15="NE,NO","0",IF(C15="IE,NO","0",IF(C15="IE,NA","0",IF(C15="NA,NO","0",IF(C15="NO,NA","0",IF(C15="IE,NA,NO","0",IF(C15="IE,NE,NO","0",IF(C15="NO,NE,NA","0",IF(C15="NA,NE,NO","0",IF(C15="NO,NE,IE,NA","0",IF(C15="IE,NA,NE,NO","0",C15))))))))))))))))))))))*'GWP CFs'!$B$3</f>
        <v>0</v>
      </c>
      <c r="K15" s="44">
        <f>IF(D15="NO","0",IF(D15="NA","0",IF(D15="IE","0",IF(D15="NO,NA","0",IF(D15="NO,IE","0",IF(D15="NO,NE","0",IF(D15="","0",IF(D15="NO,NE,IE","0",IF(D15="NE","0",IF(D15="NA,NE","0",IF(D15="NE,NA","0",IF(D15="NE,NO","0",IF(D15="IE,NO","0",IF(D15="IE,NA","0",IF(D15="NA,NO","0",IF(D15="NO,NA","0",IF(D15="IE,NA,NO","0",IF(D15="IE,NE,NO","0",IF(D15="NO,NE,NA","0",IF(D15="NA,NE,NO","0",IF(D15="NO,NE,IE,NA","0",IF(D15="IE,NA,NE,NO","0",D15))))))))))))))))))))))*'GWP CFs'!$B$4</f>
        <v>0</v>
      </c>
      <c r="L15" s="46">
        <f t="shared" ref="L15:L20" si="2">IF(B15="NO","0",IF(B15="NA","0",IF(B15="IE","0",IF(B15="NO,NA","0",IF(B15="NO,IE","0",IF(B15="NO,NE","0",IF(B15="","0",IF(B15="NO,NE,IE","0",IF(B15="NE","0",IF(B15="NA,NE","0",IF(B15="NE,NA","0",IF(B15="NE,NO","0",IF(B15="IE,NO","0",IF(B15="IE,NA","0",IF(B15="NA,NO","0",IF(B15="NO,NA","0",IF(B15="IE,NA,NO","0",IF(B15="IE,NE,NO","0",IF(B15="NO,NE,NA","0",IF(B15="NA,NE,NO","0",IF(B15="NO,NE,IE,NA","0",IF(B15="IE,NA,NE,NO","0",B15))))))))))))))))))))))+J15+K15</f>
        <v>0</v>
      </c>
      <c r="M15" s="24">
        <v>0</v>
      </c>
      <c r="N15" s="25">
        <v>0</v>
      </c>
      <c r="O15" s="42">
        <v>0</v>
      </c>
      <c r="P15" s="24">
        <v>0</v>
      </c>
      <c r="Q15" s="25">
        <v>0</v>
      </c>
      <c r="R15" s="26">
        <v>0</v>
      </c>
      <c r="S15" s="24">
        <v>0</v>
      </c>
      <c r="T15" s="25">
        <v>0</v>
      </c>
      <c r="U15" s="42">
        <v>0</v>
      </c>
      <c r="V15" s="25">
        <v>0</v>
      </c>
      <c r="W15" s="25">
        <v>0</v>
      </c>
      <c r="X15" s="26">
        <v>0</v>
      </c>
      <c r="Y15" s="25">
        <v>0</v>
      </c>
      <c r="Z15" s="25">
        <v>0</v>
      </c>
      <c r="AA15" s="26">
        <v>0</v>
      </c>
    </row>
    <row r="16" spans="1:27" x14ac:dyDescent="0.35">
      <c r="A16" s="28" t="s">
        <v>8</v>
      </c>
      <c r="B16" s="29">
        <f>[5]Table4!$B$11</f>
        <v>97.156963133440698</v>
      </c>
      <c r="C16" s="29" t="str">
        <f>[5]Summary1.As2!$C$21</f>
        <v>NO</v>
      </c>
      <c r="D16" s="29">
        <f>[5]Summary1.As2!$D$21</f>
        <v>8.0577718571399996E-3</v>
      </c>
      <c r="E16" s="30">
        <v>0</v>
      </c>
      <c r="F16" s="29" t="str">
        <f>[5]Summary2!$C$41</f>
        <v>NO</v>
      </c>
      <c r="G16" s="29">
        <f>[5]Summary2!$D$41</f>
        <v>2.4012160134277201</v>
      </c>
      <c r="H16" s="31">
        <f>IF(B16="NO","0",IF(B16="NA","0",IF(B16="IE","0",IF(B16="NO,NA","0",IF(B16="NO,IE","0",IF(B16="NO,NE","0",IF(B16="","0",IF(B16="NO,NE,IE","0",IF(B16="NE","0",IF(B16="NA,NE","0",IF(B16="NE,NA","0",IF(B16="NE,NO","0",IF(B16="IE,NO","0",IF(B16="IE,NA","0",IF(B16="NA,NO","0",IF(B16="NO,NA","0",IF(B16="IE,NA,NO","0",IF(B16="IE,NE,NO","0",IF(B16="NO,NE,NA","0",IF(B16="NA,NE,NO","0",IF(B16="NO,NE,IE,NA","0",IF(B16="IE,NA,NE,NO","0",B16))))))))))))))))))))))+IF(F16="NO","0",IF(F16="NA","0",IF(F16="IE","0",IF(F16="NO,NA","0",IF(F16="NO,IE","0",IF(F16="NO,NE","0",IF(F16="","0",IF(F16="NO,NE,IE","0",IF(F16="NE","0",IF(F16="NA,NE","0",IF(F16="NE,NA","0",IF(F16="NE,NO","0",IF(F16="IE,NO","0",IF(F16="IE,NA","0",IF(F16="NA,NO","0",IF(F16="NO,NA","0",IF(F16="IE,NA,NO","0",IF(F16="IE,NE,NO","0",IF(F16="NO,NE,NA","0",IF(F16="NA,NE,NO","0",IF(F16="NO,NE,IE,NA","0",IF(F16="IE,NA,NE,NO","0",F16))))))))))))))))))))))+IF(G16="NO","0",IF(G16="NA","0",IF(G16="IE","0",IF(G16="NO,NA","0",IF(G16="NO,IE","0",IF(G16="NO,NE","0",IF(G16="","0",IF(G16="NO,NE,IE","0",IF(G16="NE","0",IF(G16="NA,NE","0",IF(G16="NE,NA","0",IF(G16="NE,NO","0",IF(G16="IE,NO","0",IF(G16="IE,NA","0",IF(G16="NA,NO","0",IF(G16="NO,NA","0",IF(G16="IE,NA,NO","0",IF(G16="IE,NE,NO","0",IF(G16="NO,NE,NA","0",IF(G16="NA,NE,NO","0",IF(G16="NO,NE,IE,NA","0",IF(G16="IE,NA,NE,NO","0",G16))))))))))))))))))))))</f>
        <v>99.558179146868412</v>
      </c>
      <c r="I16" s="32">
        <f>[5]Summary2!$J$41</f>
        <v>99.558179146868426</v>
      </c>
      <c r="J16" s="31">
        <f>IF(C16="NO","0",IF(C16="NA","0",IF(C16="IE","0",IF(C16="NO,NA","0",IF(C16="NO,IE","0",IF(C16="NO,NE","0",IF(C16="","0",IF(C16="NO,NE,IE","0",IF(C16="NE","0",IF(C16="NA,NE","0",IF(C16="NE,NA","0",IF(C16="NE,NO","0",IF(C16="IE,NO","0",IF(C16="IE,NA","0",IF(C16="NA,NO","0",IF(C16="NO,NA","0",IF(C16="IE,NA,NO","0",IF(C16="IE,NE,NO","0",IF(C16="NO,NE,NA","0",IF(C16="NA,NE,NO","0",IF(C16="NO,NE,IE,NA","0",IF(C16="IE,NA,NE,NO","0",C16))))))))))))))))))))))*'GWP CFs'!$B$3</f>
        <v>0</v>
      </c>
      <c r="K16" s="18">
        <f>IF(D16="NO","0",IF(D16="NA","0",IF(D16="IE","0",IF(D16="NO,NA","0",IF(D16="NO,IE","0",IF(D16="NO,NE","0",IF(D16="","0",IF(D16="NO,NE,IE","0",IF(D16="NE","0",IF(D16="NA,NE","0",IF(D16="NE,NA","0",IF(D16="NE,NO","0",IF(D16="IE,NO","0",IF(D16="IE,NA","0",IF(D16="NA,NO","0",IF(D16="NO,NA","0",IF(D16="IE,NA,NO","0",IF(D16="IE,NE,NO","0",IF(D16="NO,NE,NA","0",IF(D16="NA,NE,NO","0",IF(D16="NO,NE,IE,NA","0",IF(D16="IE,NA,NE,NO","0",D16))))))))))))))))))))))*'GWP CFs'!$B$4</f>
        <v>2.1353095421421</v>
      </c>
      <c r="L16" s="11">
        <f t="shared" si="2"/>
        <v>99.292272675582794</v>
      </c>
      <c r="M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M20</f>
        <v>85.688825646550356</v>
      </c>
      <c r="N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N20+N21</f>
        <v>0</v>
      </c>
      <c r="O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+O20</f>
        <v>8.0577718571399996E-3</v>
      </c>
      <c r="P16" s="31">
        <f>N16*'GWP CFs'!$B$3</f>
        <v>0</v>
      </c>
      <c r="Q16" s="31">
        <f>O16*'GWP CFs'!$B$4</f>
        <v>2.1353095421421</v>
      </c>
      <c r="R16" s="33">
        <f>M16+P16+Q16</f>
        <v>87.824135188692452</v>
      </c>
      <c r="S16" s="31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S20</f>
        <v>85.688825646550356</v>
      </c>
      <c r="T16" s="31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+T20+T21</f>
        <v>0</v>
      </c>
      <c r="U16" s="33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+U20)))</f>
        <v>8.0577718571399996E-3</v>
      </c>
      <c r="V16" s="31">
        <f>T16*'GWP CFs'!$B$3</f>
        <v>0</v>
      </c>
      <c r="W16" s="31">
        <f>U16*'GWP CFs'!$B$4</f>
        <v>2.1353095421421</v>
      </c>
      <c r="X16" s="33">
        <f>S16+V16+W16</f>
        <v>87.824135188692452</v>
      </c>
      <c r="Y16" s="29">
        <f>[5]Table4.B!$C$10</f>
        <v>3192.6305200000002</v>
      </c>
      <c r="Z16" s="34">
        <v>0</v>
      </c>
      <c r="AA16" s="30">
        <v>0</v>
      </c>
    </row>
    <row r="17" spans="1:27" x14ac:dyDescent="0.35">
      <c r="A17" s="6" t="s">
        <v>23</v>
      </c>
      <c r="B17" s="18">
        <f>IF(E17="NO","0",IF(E17="NA","0",IF(E17="IE","0",IF(E17="NO,NA","0",IF(E17="NO,IE","0",IF(E17="NO,NE","0",IF(E17="","0",IF(E17="NO,NE,IE","0",IF(E17="NE","0",IF(E17="NA,NE","0",IF(E17="NE,NA","0",IF(E17="NE,NO","0",IF(E17="IE,NO","0",IF(E17="IE,NA","0",IF(E17="NA,NO","0",IF(E17="NO,NA","0",IF(E17="IE,NA,NO","0",IF(E17="IE,NE,NO","0",IF(E17="NO,NE,NA","0",IF(E17="NA,NE,NO","0",IF(E17="NO,NE,IE,NA","0",IF(E17="IE,NA,NE,NO","0",E17))))))))))))))))))))))*(-44/12)</f>
        <v>85.688825646550356</v>
      </c>
      <c r="C17" s="18" t="str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</f>
        <v>0</v>
      </c>
      <c r="D17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+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</f>
        <v>8.0577718571399996E-3</v>
      </c>
      <c r="E17" s="9">
        <f>[5]Table4.B!$P$10</f>
        <v>-23.369679721786461</v>
      </c>
      <c r="F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CFs'!$C$3</f>
        <v>0</v>
      </c>
      <c r="G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CFs'!$C$4</f>
        <v>2.4012160134277201</v>
      </c>
      <c r="H17" s="7">
        <f>IF(B17="NO","0",IF(B17="NA","0",IF(B17="IE","0",IF(B17="NO,NA","0",IF(B17="NO,IE","0",IF(B17="NO,NE","0",IF(B17="","0",IF(B17="NO,NE,IE","0",IF(B17="NE","0",IF(B17="NA,NE","0",IF(B17="NE,NA","0",IF(B17="NE,NO","0",IF(B17="IE,NO","0",IF(B17="IE,NA","0",IF(B17="NA,NO","0",IF(B17="NO,NA","0",IF(B17="IE,NA,NO","0",IF(B17="IE,NE,NO","0",IF(B17="NO,NE,NA","0",IF(B17="NA,NE,NO","0",IF(B17="NO,NE,IE,NA","0",IF(B17="IE,NA,NE,NO","0",B17))))))))))))))))))))))+IF(F17="NO","0",IF(F17="NA","0",IF(F17="IE","0",IF(F17="NO,NA","0",IF(F17="NO,IE","0",IF(F17="NO,NE","0",IF(F17="","0",IF(F17="NO,NE,IE","0",IF(F17="NE","0",IF(F17="NA,NE","0",IF(F17="NE,NA","0",IF(F17="NE,NO","0",IF(F17="IE,NO","0",IF(F17="IE,NA","0",IF(F17="NA,NO","0",IF(F17="NO,NA","0",IF(F17="IE,NA,NO","0",IF(F17="IE,NE,NO","0",IF(F17="NO,NE,NA","0",IF(F17="NA,NE,NO","0",IF(F17="NO,NE,IE,NA","0",IF(F17="IE,NA,NE,NO","0",F17))))))))))))))))))))))+IF(G17="NO","0",IF(G17="NA","0",IF(G17="IE","0",IF(G17="NO,NA","0",IF(G17="NO,IE","0",IF(G17="NO,NE","0",IF(G17="","0",IF(G17="NO,NE,IE","0",IF(G17="NE","0",IF(G17="NA,NE","0",IF(G17="NE,NA","0",IF(G17="NE,NO","0",IF(G17="IE,NO","0",IF(G17="IE,NA","0",IF(G17="NA,NO","0",IF(G17="NO,NA","0",IF(G17="IE,NA,NO","0",IF(G17="IE,NE,NO","0",IF(G17="NO,NE,NA","0",IF(G17="NA,NE,NO","0",IF(G17="NO,NE,IE,NA","0",IF(G17="IE,NA,NE,NO","0",G17))))))))))))))))))))))</f>
        <v>88.09004165997807</v>
      </c>
      <c r="I17" s="26">
        <v>0</v>
      </c>
      <c r="J17" s="7">
        <f>IF(C17="NO","0",IF(C17="NA","0",IF(C17="IE","0",IF(C17="NO,NA","0",IF(C17="NO,IE","0",IF(C17="NO,NE","0",IF(C17="","0",IF(C17="NO,NE,IE","0",IF(C17="NE","0",IF(C17="NA,NE","0",IF(C17="NE,NA","0",IF(C17="NE,NO","0",IF(C17="IE,NO","0",IF(C17="IE,NA","0",IF(C17="NA,NO","0",IF(C17="NO,NA","0",IF(C17="IE,NA,NO","0",IF(C17="IE,NE,NO","0",IF(C17="NO,NE,NA","0",IF(C17="NA,NE,NO","0",IF(C17="NO,NE,IE,NA","0",IF(C17="IE,NA,NE,NO","0",C17))))))))))))))))))))))*'GWP CFs'!$B$3</f>
        <v>0</v>
      </c>
      <c r="K17" s="18">
        <f>IF(D17="NO","0",IF(D17="NA","0",IF(D17="IE","0",IF(D17="NO,NA","0",IF(D17="NO,IE","0",IF(D17="NO,NE","0",IF(D17="","0",IF(D17="NO,NE,IE","0",IF(D17="NE","0",IF(D17="NA,NE","0",IF(D17="NE,NA","0",IF(D17="NE,NO","0",IF(D17="IE,NO","0",IF(D17="IE,NA","0",IF(D17="NA,NO","0",IF(D17="NO,NA","0",IF(D17="IE,NA,NO","0",IF(D17="IE,NE,NO","0",IF(D17="NO,NE,NA","0",IF(D17="NA,NE,NO","0",IF(D17="NO,NE,IE,NA","0",IF(D17="IE,NA,NE,NO","0",D17))))))))))))))))))))))*'GWP CFs'!$B$4</f>
        <v>2.1353095421421</v>
      </c>
      <c r="L17" s="11">
        <f t="shared" si="2"/>
        <v>87.824135188692452</v>
      </c>
      <c r="M17" s="24">
        <v>0</v>
      </c>
      <c r="N17" s="24">
        <v>0</v>
      </c>
      <c r="O17" s="24">
        <v>0</v>
      </c>
      <c r="P17" s="41">
        <v>0</v>
      </c>
      <c r="Q17" s="25">
        <v>0</v>
      </c>
      <c r="R17" s="26">
        <v>0</v>
      </c>
      <c r="S17" s="24">
        <v>0</v>
      </c>
      <c r="T17" s="24">
        <v>0</v>
      </c>
      <c r="U17" s="24">
        <v>0</v>
      </c>
      <c r="V17" s="41">
        <v>0</v>
      </c>
      <c r="W17" s="25">
        <v>0</v>
      </c>
      <c r="X17" s="26">
        <v>0</v>
      </c>
      <c r="Y17" s="14">
        <f>[5]Table4.B!$D$10</f>
        <v>3192.6305200000002</v>
      </c>
      <c r="Z17" s="25">
        <v>0</v>
      </c>
      <c r="AA17" s="26">
        <v>0</v>
      </c>
    </row>
    <row r="18" spans="1:27" x14ac:dyDescent="0.35">
      <c r="A18" s="22" t="s">
        <v>44</v>
      </c>
      <c r="B18" s="12">
        <v>0</v>
      </c>
      <c r="C18" s="21">
        <v>0</v>
      </c>
      <c r="D18" s="48">
        <f>'[5]Table4(III)'!$D$13</f>
        <v>8.0577718571399996E-3</v>
      </c>
      <c r="E18" s="26">
        <v>0</v>
      </c>
      <c r="F18" s="12">
        <v>0</v>
      </c>
      <c r="G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CFs'!$C$4</f>
        <v>2.4012160134277201</v>
      </c>
      <c r="H18" s="7">
        <f>IF(B18="NO","0",IF(B18="NA","0",IF(B18="IE","0",IF(B18="NO,NA","0",IF(B18="NO,IE","0",IF(B18="NO,NE","0",IF(B18="","0",IF(B18="NO,NE,IE","0",IF(B18="NE","0",IF(B18="NA,NE","0",IF(B18="NE,NA","0",IF(B18="NE,NO","0",IF(B18="IE,NO","0",IF(B18="IE,NA","0",IF(B18="NA,NO","0",IF(B18="NO,NA","0",IF(B18="IE,NA,NO","0",IF(B18="IE,NE,NO","0",IF(B18="NO,NE,NA","0",IF(B18="NA,NE,NO","0",IF(B18="NO,NE,IE,NA","0",IF(B18="IE,NA,NE,NO","0",B18))))))))))))))))))))))+IF(F18="NO","0",IF(F18="NA","0",IF(F18="IE","0",IF(F18="NO,NA","0",IF(F18="NO,IE","0",IF(F18="NO,NE","0",IF(F18="","0",IF(F18="NO,NE,IE","0",IF(F18="NE","0",IF(F18="NA,NE","0",IF(F18="NE,NA","0",IF(F18="NE,NO","0",IF(F18="IE,NO","0",IF(F18="IE,NA","0",IF(F18="NA,NO","0",IF(F18="NO,NA","0",IF(F18="IE,NA,NO","0",IF(F18="IE,NE,NO","0",IF(F18="NO,NE,NA","0",IF(F18="NA,NE,NO","0",IF(F18="NO,NE,IE,NA","0",IF(F18="IE,NA,NE,NO","0",F18))))))))))))))))))))))+IF(G18="NO","0",IF(G18="NA","0",IF(G18="IE","0",IF(G18="NO,NA","0",IF(G18="NO,IE","0",IF(G18="NO,NE","0",IF(G18="","0",IF(G18="NO,NE,IE","0",IF(G18="NE","0",IF(G18="NA,NE","0",IF(G18="NE,NA","0",IF(G18="NE,NO","0",IF(G18="IE,NO","0",IF(G18="IE,NA","0",IF(G18="NA,NO","0",IF(G18="NO,NA","0",IF(G18="IE,NA,NO","0",IF(G18="IE,NE,NO","0",IF(G18="NO,NE,NA","0",IF(G18="NA,NE,NO","0",IF(G18="NO,NE,IE,NA","0",IF(G18="IE,NA,NE,NO","0",G18))))))))))))))))))))))</f>
        <v>2.4012160134277201</v>
      </c>
      <c r="I18" s="26">
        <v>0</v>
      </c>
      <c r="J18" s="24">
        <v>0</v>
      </c>
      <c r="K18" s="18">
        <f>IF(D18="NO","0",IF(D18="NA","0",IF(D18="IE","0",IF(D18="NO,NA","0",IF(D18="NO,IE","0",IF(D18="NO,NE","0",IF(D18="","0",IF(D18="NO,NE,IE","0",IF(D18="NE","0",IF(D18="NA,NE","0",IF(D18="NE,NA","0",IF(D18="NE,NO","0",IF(D18="IE,NO","0",IF(D18="IE,NA","0",IF(D18="NA,NO","0",IF(D18="NO,NA","0",IF(D18="IE,NA,NO","0",IF(D18="IE,NE,NO","0",IF(D18="NO,NE,NA","0",IF(D18="NA,NE,NO","0",IF(D18="NO,NE,IE,NA","0",IF(D18="IE,NA,NE,NO","0",D18))))))))))))))))))))))*'GWP CFs'!$B$4</f>
        <v>2.1353095421421</v>
      </c>
      <c r="L18" s="11">
        <f t="shared" si="2"/>
        <v>2.1353095421421</v>
      </c>
      <c r="M18" s="24">
        <v>0</v>
      </c>
      <c r="N18" s="24">
        <v>0</v>
      </c>
      <c r="O18" s="24">
        <v>0</v>
      </c>
      <c r="P18" s="41">
        <v>0</v>
      </c>
      <c r="Q18" s="25">
        <v>0</v>
      </c>
      <c r="R18" s="26">
        <v>0</v>
      </c>
      <c r="S18" s="24">
        <v>0</v>
      </c>
      <c r="T18" s="24">
        <v>0</v>
      </c>
      <c r="U18" s="24">
        <v>0</v>
      </c>
      <c r="V18" s="41">
        <v>0</v>
      </c>
      <c r="W18" s="25">
        <v>0</v>
      </c>
      <c r="X18" s="26">
        <v>0</v>
      </c>
      <c r="Y18" s="48">
        <f>'[5]Table4(III)'!$B$13</f>
        <v>16.1799</v>
      </c>
      <c r="Z18" s="25">
        <v>0</v>
      </c>
      <c r="AA18" s="26">
        <v>0</v>
      </c>
    </row>
    <row r="19" spans="1:27" x14ac:dyDescent="0.35">
      <c r="A19" s="6" t="s">
        <v>45</v>
      </c>
      <c r="B19" s="49" t="str">
        <f>'[5]Table4(II)'!$G$33</f>
        <v>NO</v>
      </c>
      <c r="C19" s="48" t="str">
        <f>'[5]Table4(II)'!$I$33</f>
        <v>NO</v>
      </c>
      <c r="D19" s="48" t="str">
        <f>'[5]Table4(II)'!$H$33</f>
        <v>NO</v>
      </c>
      <c r="E19" s="26">
        <v>0</v>
      </c>
      <c r="F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CFs'!$C$3</f>
        <v>0</v>
      </c>
      <c r="G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CFs'!$C$4</f>
        <v>0</v>
      </c>
      <c r="H19" s="7">
        <f>IF(B19="NO","0",IF(B19="NA","0",IF(B19="IE","0",IF(B19="NO,NA","0",IF(B19="NO,IE","0",IF(B19="NO,NE","0",IF(B19="","0",IF(B19="NO,NE,IE","0",IF(B19="NE","0",IF(B19="NA,NE","0",IF(B19="NE,NA","0",IF(B19="NE,NO","0",IF(B19="IE,NO","0",IF(B19="IE,NA","0",IF(B19="NA,NO","0",IF(B19="NO,NA","0",IF(B19="IE,NA,NO","0",IF(B19="IE,NE,NO","0",IF(B19="NO,NE,NA","0",IF(B19="NA,NE,NO","0",IF(B19="NO,NE,IE,NA","0",IF(B19="IE,NA,NE,NO","0",B19))))))))))))))))))))))+IF(F19="NO","0",IF(F19="NA","0",IF(F19="IE","0",IF(F19="NO,NA","0",IF(F19="NO,IE","0",IF(F19="NO,NE","0",IF(F19="","0",IF(F19="NO,NE,IE","0",IF(F19="NE","0",IF(F19="NA,NE","0",IF(F19="NE,NA","0",IF(F19="NE,NO","0",IF(F19="IE,NO","0",IF(F19="IE,NA","0",IF(F19="NA,NO","0",IF(F19="NO,NA","0",IF(F19="IE,NA,NO","0",IF(F19="IE,NE,NO","0",IF(F19="NO,NE,NA","0",IF(F19="NA,NE,NO","0",IF(F19="NO,NE,IE,NA","0",IF(F19="IE,NA,NE,NO","0",F19))))))))))))))))))))))+IF(G19="NO","0",IF(G19="NA","0",IF(G19="IE","0",IF(G19="NO,NA","0",IF(G19="NO,IE","0",IF(G19="NO,NE","0",IF(G19="","0",IF(G19="NO,NE,IE","0",IF(G19="NE","0",IF(G19="NA,NE","0",IF(G19="NE,NA","0",IF(G19="NE,NO","0",IF(G19="IE,NO","0",IF(G19="IE,NA","0",IF(G19="NA,NO","0",IF(G19="NO,NA","0",IF(G19="IE,NA,NO","0",IF(G19="IE,NE,NO","0",IF(G19="NO,NE,NA","0",IF(G19="NA,NE,NO","0",IF(G19="NO,NE,IE,NA","0",IF(G19="IE,NA,NE,NO","0",G19))))))))))))))))))))))</f>
        <v>0</v>
      </c>
      <c r="I19" s="26">
        <v>0</v>
      </c>
      <c r="J19" s="7">
        <f>IF(C19="NO","0",IF(C19="NA","0",IF(C19="IE","0",IF(C19="NO,NA","0",IF(C19="NO,IE","0",IF(C19="NO,NE","0",IF(C19="","0",IF(C19="NO,NE,IE","0",IF(C19="NE","0",IF(C19="NA,NE","0",IF(C19="NE,NA","0",IF(C19="NE,NO","0",IF(C19="IE,NO","0",IF(C19="IE,NA","0",IF(C19="NA,NO","0",IF(C19="NO,NA","0",IF(C19="IE,NA,NO","0",IF(C19="IE,NE,NO","0",IF(C19="NO,NE,NA","0",IF(C19="NA,NE,NO","0",IF(C19="NO,NE,IE,NA","0",IF(C19="IE,NA,NE,NO","0",C19))))))))))))))))))))))*'GWP CFs'!$B$3</f>
        <v>0</v>
      </c>
      <c r="K19" s="18">
        <f>IF(D19="NO","0",IF(D19="NA","0",IF(D19="IE","0",IF(D19="NO,NA","0",IF(D19="NO,IE","0",IF(D19="NO,NE","0",IF(D19="","0",IF(D19="NO,NE,IE","0",IF(D19="NE","0",IF(D19="NA,NE","0",IF(D19="NE,NA","0",IF(D19="NE,NO","0",IF(D19="IE,NO","0",IF(D19="IE,NA","0",IF(D19="NA,NO","0",IF(D19="NO,NA","0",IF(D19="IE,NA,NO","0",IF(D19="IE,NE,NO","0",IF(D19="NO,NE,NA","0",IF(D19="NA,NE,NO","0",IF(D19="NO,NE,IE,NA","0",IF(D19="IE,NA,NE,NO","0",D19))))))))))))))))))))))*'GWP CFs'!$B$4</f>
        <v>0</v>
      </c>
      <c r="L19" s="11">
        <f t="shared" si="2"/>
        <v>0</v>
      </c>
      <c r="M19" s="24">
        <v>0</v>
      </c>
      <c r="N19" s="24">
        <v>0</v>
      </c>
      <c r="O19" s="24">
        <v>0</v>
      </c>
      <c r="P19" s="41">
        <v>0</v>
      </c>
      <c r="Q19" s="25">
        <v>0</v>
      </c>
      <c r="R19" s="26">
        <v>0</v>
      </c>
      <c r="S19" s="24">
        <v>0</v>
      </c>
      <c r="T19" s="24">
        <v>0</v>
      </c>
      <c r="U19" s="24">
        <v>0</v>
      </c>
      <c r="V19" s="41">
        <v>0</v>
      </c>
      <c r="W19" s="25">
        <v>0</v>
      </c>
      <c r="X19" s="26">
        <v>0</v>
      </c>
      <c r="Y19" s="48" t="str">
        <f>'[5]Table4(II)'!$C$33</f>
        <v>NO</v>
      </c>
      <c r="Z19" s="25">
        <v>0</v>
      </c>
      <c r="AA19" s="26">
        <v>0</v>
      </c>
    </row>
    <row r="20" spans="1:27" x14ac:dyDescent="0.35">
      <c r="A20" s="6" t="s">
        <v>24</v>
      </c>
      <c r="B20" s="7">
        <f>IF(E20="NO","0",IF(E20="NA","0",IF(E20="IE","0",IF(E20="NO,NA","0",IF(E20="NO,IE","0",IF(E20="NO,NE","0",IF(E20="","0",IF(E20="NO,NE,IE","0",IF(E20="NE","0",IF(E20="NA,NE","0",IF(E20="NE,NA","0",IF(E20="NE,NO","0",IF(E20="IE,NO","0",IF(E20="IE,NA","0",IF(E20="NA,NO","0",IF(E20="NO,NA","0",IF(E20="IE,NA,NO","0",IF(E20="IE,NE,NO","0",IF(E20="NO,NE,NA","0",IF(E20="NA,NE,NO","0",IF(E20="NO,NE,IE,NA","0",IF(E20="IE,NA,NE,NO","0",E20))))))))))))))))))))))*(-44/12)</f>
        <v>0</v>
      </c>
      <c r="C20" s="48" t="str">
        <f>'[5]Table4(II)'!$I$25</f>
        <v>NO</v>
      </c>
      <c r="D20" s="25">
        <v>0</v>
      </c>
      <c r="E20" s="9" t="str">
        <f>[5]Table4.B!$Q$10</f>
        <v>NO</v>
      </c>
      <c r="F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CFs'!$C$3</f>
        <v>0</v>
      </c>
      <c r="G20" s="21">
        <v>0</v>
      </c>
      <c r="H20" s="7">
        <f>IF(B20="NO","0",IF(B20="NA","0",IF(B20="IE","0",IF(B20="NO,NA","0",IF(B20="NO,IE","0",IF(B20="NO,NE","0",IF(B20="","0",IF(B20="NO,NE,IE","0",IF(B20="NE","0",IF(B20="NA,NE","0",IF(B20="NE,NA","0",IF(B20="NE,NO","0",IF(B20="IE,NO","0",IF(B20="IE,NA","0",IF(B20="NA,NO","0",IF(B20="NO,NA","0",IF(B20="IE,NA,NO","0",IF(B20="IE,NE,NO","0",IF(B20="NO,NE,NA","0",IF(B20="NA,NE,NO","0",IF(B20="NO,NE,IE,NA","0",IF(B20="IE,NA,NE,NO","0",B20))))))))))))))))))))))+IF(F20="NO","0",IF(F20="NA","0",IF(F20="IE","0",IF(F20="NO,NA","0",IF(F20="NO,IE","0",IF(F20="NO,NE","0",IF(F20="","0",IF(F20="NO,NE,IE","0",IF(F20="NE","0",IF(F20="NA,NE","0",IF(F20="NE,NA","0",IF(F20="NE,NO","0",IF(F20="IE,NO","0",IF(F20="IE,NA","0",IF(F20="NA,NO","0",IF(F20="NO,NA","0",IF(F20="IE,NA,NO","0",IF(F20="IE,NE,NO","0",IF(F20="NO,NE,NA","0",IF(F20="NA,NE,NO","0",IF(F20="NO,NE,IE,NA","0",IF(F20="IE,NA,NE,NO","0",F20))))))))))))))))))))))+IF(G20="NO","0",IF(G20="NA","0",IF(G20="IE","0",IF(G20="NO,NA","0",IF(G20="NO,IE","0",IF(G20="NO,NE","0",IF(G20="","0",IF(G20="NO,NE,IE","0",IF(G20="NE","0",IF(G20="NA,NE","0",IF(G20="NE,NA","0",IF(G20="NE,NO","0",IF(G20="IE,NO","0",IF(G20="IE,NA","0",IF(G20="NA,NO","0",IF(G20="NO,NA","0",IF(G20="IE,NA,NO","0",IF(G20="IE,NE,NO","0",IF(G20="NO,NE,NA","0",IF(G20="NA,NE,NO","0",IF(G20="NO,NE,IE,NA","0",IF(G20="IE,NA,NE,NO","0",G20))))))))))))))))))))))</f>
        <v>0</v>
      </c>
      <c r="I20" s="26">
        <v>0</v>
      </c>
      <c r="J20" s="7">
        <f>IF(C20="NO","0",IF(C20="NA","0",IF(C20="IE","0",IF(C20="NO,NA","0",IF(C20="NO,IE","0",IF(C20="NO,NE","0",IF(C20="","0",IF(C20="NO,NE,IE","0",IF(C20="NE","0",IF(C20="NA,NE","0",IF(C20="NE,NA","0",IF(C20="NE,NO","0",IF(C20="IE,NO","0",IF(C20="IE,NA","0",IF(C20="NA,NO","0",IF(C20="NO,NA","0",IF(C20="IE,NA,NO","0",IF(C20="IE,NE,NO","0",IF(C20="NO,NE,NA","0",IF(C20="NA,NE,NO","0",IF(C20="NO,NE,IE,NA","0",IF(C20="IE,NA,NE,NO","0",C20))))))))))))))))))))))*'GWP CFs'!$B$3</f>
        <v>0</v>
      </c>
      <c r="K20" s="25">
        <v>0</v>
      </c>
      <c r="L20" s="11">
        <f t="shared" si="2"/>
        <v>0</v>
      </c>
      <c r="M20" s="7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B$3*44/12</f>
        <v>0</v>
      </c>
      <c r="N20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0.95*EFs!$C$3/1000</f>
        <v>0</v>
      </c>
      <c r="O20" s="11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EFs!$E$3*44/28000</f>
        <v>0</v>
      </c>
      <c r="P20" s="7">
        <f>N20*'GWP CFs'!$B$3</f>
        <v>0</v>
      </c>
      <c r="Q20" s="18">
        <f>O20*'GWP CFs'!$B$4</f>
        <v>0</v>
      </c>
      <c r="R20" s="11">
        <f>M20+P20+Q20</f>
        <v>0</v>
      </c>
      <c r="S20" s="18">
        <f>AA20*EFs!$B$3*44/12</f>
        <v>0</v>
      </c>
      <c r="T20" s="18">
        <f>AA20*0.95*EFs!$C$3/1000</f>
        <v>0</v>
      </c>
      <c r="U20" s="11">
        <f>AA20*EFs!$E$3*44/28000</f>
        <v>0</v>
      </c>
      <c r="V20" s="18">
        <f>T20*'GWP CFs'!$B$3</f>
        <v>0</v>
      </c>
      <c r="W20" s="18">
        <f>U20*'GWP CFs'!$B$4</f>
        <v>0</v>
      </c>
      <c r="X20" s="11">
        <f>S20+V20+W20</f>
        <v>0</v>
      </c>
      <c r="Y20" s="14" t="str">
        <f>[5]Table4.B!$E$10</f>
        <v>NO</v>
      </c>
      <c r="Z20" s="25">
        <v>0</v>
      </c>
      <c r="AA20" s="39">
        <v>0</v>
      </c>
    </row>
    <row r="21" spans="1:27" x14ac:dyDescent="0.35">
      <c r="A21" s="6" t="s">
        <v>46</v>
      </c>
      <c r="B21" s="25">
        <v>0</v>
      </c>
      <c r="C21" s="25">
        <v>0</v>
      </c>
      <c r="D21" s="25">
        <v>0</v>
      </c>
      <c r="E21" s="26">
        <v>0</v>
      </c>
      <c r="F21" s="12">
        <v>0</v>
      </c>
      <c r="G21" s="21">
        <v>0</v>
      </c>
      <c r="H21" s="24">
        <v>0</v>
      </c>
      <c r="I21" s="26">
        <v>0</v>
      </c>
      <c r="J21" s="12">
        <v>0</v>
      </c>
      <c r="K21" s="45">
        <v>0</v>
      </c>
      <c r="L21" s="42">
        <v>0</v>
      </c>
      <c r="M21" s="24">
        <v>0</v>
      </c>
      <c r="N21" s="18">
        <f>IF(Y20="NO","0",IF(Y20="NA","0",IF(Y20="IE","0",IF(Y20="NO,NA","0",IF(Y20="NO,IE","0",IF(Y20="NO,NE","0",IF(Y20="","0",IF(Y20="NO,NE,IE","0",IF(Y20="NE","0",IF(Y20="NA,NE","0",IF(Y20="NE,NA","0",IF(Y20="NE,NO","0",IF(Y20="IE,NO","0",IF(Y20="IE,NA","0",IF(Y20="NA,NO","0",IF(Y20="NO,NA","0",IF(Y20="IE,NA,NO","0",IF(Y20="IE,NE,NO","0",IF(Y20="NO,NE,NA","0",IF(Y20="NA,NE,NO","0",IF(Y20="NO,NE,IE,NA","0",IF(Y20="IE,NA,NE,NO","0",Y20))))))))))))))))))))))*0.05*EFs!$D$3/1000</f>
        <v>0</v>
      </c>
      <c r="O21" s="26">
        <v>0</v>
      </c>
      <c r="P21" s="7">
        <f>N21*'GWP CFs'!$B$3</f>
        <v>0</v>
      </c>
      <c r="Q21" s="25">
        <v>0</v>
      </c>
      <c r="R21" s="11">
        <f>M21+P21+Q21</f>
        <v>0</v>
      </c>
      <c r="S21" s="25">
        <v>0</v>
      </c>
      <c r="T21" s="18">
        <f>AA20*0.05*EFs!$D$3/1000</f>
        <v>0</v>
      </c>
      <c r="U21" s="42">
        <v>0</v>
      </c>
      <c r="V21" s="18">
        <f>T21*'GWP CFs'!$B$3</f>
        <v>0</v>
      </c>
      <c r="W21" s="25">
        <v>0</v>
      </c>
      <c r="X21" s="11">
        <f>V21</f>
        <v>0</v>
      </c>
      <c r="Y21" s="25">
        <v>0</v>
      </c>
      <c r="Z21" s="25">
        <v>0</v>
      </c>
      <c r="AA21" s="26">
        <v>0</v>
      </c>
    </row>
    <row r="22" spans="1:27" x14ac:dyDescent="0.35">
      <c r="A22" s="28" t="s">
        <v>7</v>
      </c>
      <c r="B22" s="29">
        <f>[5]Table4!$B$14</f>
        <v>-282.25843261318118</v>
      </c>
      <c r="C22" s="29" t="str">
        <f>[5]Summary1.As2!$C$22</f>
        <v>NO</v>
      </c>
      <c r="D22" s="29" t="str">
        <f>[5]Summary1.As2!$D$22</f>
        <v>NO,NA</v>
      </c>
      <c r="E22" s="30">
        <v>0</v>
      </c>
      <c r="F22" s="29" t="str">
        <f>[5]Summary2!$C$42</f>
        <v>NO</v>
      </c>
      <c r="G22" s="29" t="str">
        <f>[5]Summary2!$D$42</f>
        <v>NO,NA</v>
      </c>
      <c r="H22" s="3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IF(F22="NO","0",IF(F22="NA","0",IF(F22="IE","0",IF(F22="NO,NA","0",IF(F22="NO,IE","0",IF(F22="NO,NE","0",IF(F22="","0",IF(F22="NO,NE,IE","0",IF(F22="NE","0",IF(F22="NA,NE","0",IF(F22="NE,NA","0",IF(F22="NE,NO","0",IF(F22="IE,NO","0",IF(F22="IE,NA","0",IF(F22="NA,NO","0",IF(F22="NO,NA","0",IF(F22="IE,NA,NO","0",IF(F22="IE,NE,NO","0",IF(F22="NO,NE,NA","0",IF(F22="NA,NE,NO","0",IF(F22="NO,NE,IE,NA","0",IF(F22="IE,NA,NE,NO","0",F22))))))))))))))))))))))+IF(G22="NO","0",IF(G22="NA","0",IF(G22="IE","0",IF(G22="NO,NA","0",IF(G22="NO,IE","0",IF(G22="NO,NE","0",IF(G22="","0",IF(G22="NO,NE,IE","0",IF(G22="NE","0",IF(G22="NA,NE","0",IF(G22="NE,NA","0",IF(G22="NE,NO","0",IF(G22="IE,NO","0",IF(G22="IE,NA","0",IF(G22="NA,NO","0",IF(G22="NO,NA","0",IF(G22="IE,NA,NO","0",IF(G22="IE,NE,NO","0",IF(G22="NO,NE,NA","0",IF(G22="NA,NE,NO","0",IF(G22="NO,NE,IE,NA","0",IF(G22="IE,NA,NE,NO","0",G22))))))))))))))))))))))</f>
        <v>-282.25843261318118</v>
      </c>
      <c r="I22" s="32">
        <f>[5]Summary2!$J$42</f>
        <v>-282.25843261318118</v>
      </c>
      <c r="J22" s="31">
        <f>IF(C22="NO","0",IF(C22="NA","0",IF(C22="IE","0",IF(C22="NO,NA","0",IF(C22="NO,IE","0",IF(C22="NO,NE","0",IF(C22="","0",IF(C22="NO,NE,IE","0",IF(C22="NE","0",IF(C22="NA,NE","0",IF(C22="NE,NA","0",IF(C22="NE,NO","0",IF(C22="IE,NO","0",IF(C22="IE,NA","0",IF(C22="NA,NO","0",IF(C22="NO,NA","0",IF(C22="IE,NA,NO","0",IF(C22="IE,NE,NO","0",IF(C22="NO,NE,NA","0",IF(C22="NA,NE,NO","0",IF(C22="NO,NE,IE,NA","0",IF(C22="IE,NA,NE,NO","0",C22))))))))))))))))))))))*'GWP CFs'!$B$3</f>
        <v>0</v>
      </c>
      <c r="K22" s="18">
        <f>IF(D22="NO","0",IF(D22="NA","0",IF(D22="IE","0",IF(D22="NO,NA","0",IF(D22="NO,IE","0",IF(D22="NO,NE","0",IF(D22="","0",IF(D22="NO,NE,IE","0",IF(D22="NE","0",IF(D22="NA,NE","0",IF(D22="NE,NA","0",IF(D22="NE,NO","0",IF(D22="IE,NO","0",IF(D22="IE,NA","0",IF(D22="NA,NO","0",IF(D22="NO,NA","0",IF(D22="IE,NA,NO","0",IF(D22="IE,NE,NO","0",IF(D22="NO,NE,NA","0",IF(D22="NA,NE,NO","0",IF(D22="NO,NE,IE,NA","0",IF(D22="IE,NA,NE,NO","0",D22))))))))))))))))))))))*'GWP CFs'!$B$4</f>
        <v>0</v>
      </c>
      <c r="L22" s="11">
        <f>IF(B22="NO","0",IF(B22="NA","0",IF(B22="IE","0",IF(B22="NO,NA","0",IF(B22="NO,IE","0",IF(B22="NO,NE","0",IF(B22="","0",IF(B22="NO,NE,IE","0",IF(B22="NE","0",IF(B22="NA,NE","0",IF(B22="NE,NA","0",IF(B22="NE,NO","0",IF(B22="IE,NO","0",IF(B22="IE,NA","0",IF(B22="NA,NO","0",IF(B22="NO,NA","0",IF(B22="IE,NA,NO","0",IF(B22="IE,NE,NO","0",IF(B22="NO,NE,NA","0",IF(B22="NA,NE,NO","0",IF(B22="NO,NE,IE,NA","0",IF(B22="IE,NA,NE,NO","0",B22))))))))))))))))))))))+J22+K22</f>
        <v>-282.25843261318118</v>
      </c>
      <c r="M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M26</f>
        <v>-271.92352779970895</v>
      </c>
      <c r="N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N26+N27</f>
        <v>0</v>
      </c>
      <c r="O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+O26</f>
        <v>0</v>
      </c>
      <c r="P22" s="31">
        <f>N22*'GWP CFs'!$B$3</f>
        <v>0</v>
      </c>
      <c r="Q22" s="31">
        <f>O22*'GWP CFs'!$B$4</f>
        <v>0</v>
      </c>
      <c r="R22" s="33">
        <f>M22+P22+Q22</f>
        <v>-271.92352779970895</v>
      </c>
      <c r="S22" s="3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S26</f>
        <v>-178.26769446637559</v>
      </c>
      <c r="T22" s="31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+T26+T27</f>
        <v>0.28262500000000002</v>
      </c>
      <c r="U22" s="33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+U26)))</f>
        <v>4.6082142857142863E-2</v>
      </c>
      <c r="V22" s="31">
        <f>T22*'GWP CFs'!$B$3</f>
        <v>7.9135000000000009</v>
      </c>
      <c r="W22" s="31">
        <f>U22*'GWP CFs'!$B$4</f>
        <v>12.211767857142858</v>
      </c>
      <c r="X22" s="33">
        <f>S22+V22+W22</f>
        <v>-158.14242660923273</v>
      </c>
      <c r="Y22" s="29">
        <f>[5]Table4.C!$C$10</f>
        <v>1011.0951799999998</v>
      </c>
      <c r="Z22" s="34">
        <v>0</v>
      </c>
      <c r="AA22" s="30">
        <v>0</v>
      </c>
    </row>
    <row r="23" spans="1:27" x14ac:dyDescent="0.35">
      <c r="A23" s="6" t="s">
        <v>23</v>
      </c>
      <c r="B23" s="7">
        <f>IF(E23="NO","0",IF(E23="NA","0",IF(E23="IE","0",IF(E23="NO,NA","0",IF(E23="NO,IE","0",IF(E23="NO,NE","0",IF(E23="","0",IF(E23="NO,NE,IE","0",IF(E23="NE","0",IF(E23="NA,NE","0",IF(E23="NE,NA","0",IF(E23="NE,NO","0",IF(E23="IE,NO","0",IF(E23="IE,NA","0",IF(E23="NA,NO","0",IF(E23="NO,NA","0",IF(E23="IE,NA,NO","0",IF(E23="IE,NE,NO","0",IF(E23="NO,NE,NA","0",IF(E23="NA,NE,NO","0",IF(E23="NO,NE,IE,NA","0",IF(E23="IE,NA,NE,NO","0",E23))))))))))))))))))))))*(-44/12)</f>
        <v>-271.92352779970895</v>
      </c>
      <c r="C23" s="18" t="str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</f>
        <v>0</v>
      </c>
      <c r="D23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+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</f>
        <v>0</v>
      </c>
      <c r="E23" s="9">
        <f>[5]Table4.C!$P$10</f>
        <v>74.160962127193358</v>
      </c>
      <c r="F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CFs'!$C$3</f>
        <v>0</v>
      </c>
      <c r="G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CFs'!$C$4</f>
        <v>0</v>
      </c>
      <c r="H23" s="18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IF(F23="NO","0",IF(F23="NA","0",IF(F23="IE","0",IF(F23="NO,NA","0",IF(F23="NO,IE","0",IF(F23="NO,NE","0",IF(F23="","0",IF(F23="NO,NE,IE","0",IF(F23="NE","0",IF(F23="NA,NE","0",IF(F23="NE,NA","0",IF(F23="NE,NO","0",IF(F23="IE,NO","0",IF(F23="IE,NA","0",IF(F23="NA,NO","0",IF(F23="NO,NA","0",IF(F23="IE,NA,NO","0",IF(F23="IE,NE,NO","0",IF(F23="NO,NE,NA","0",IF(F23="NA,NE,NO","0",IF(F23="NO,NE,IE,NA","0",IF(F23="IE,NA,NE,NO","0",F23))))))))))))))))))))))+IF(G23="NO","0",IF(G23="NA","0",IF(G23="IE","0",IF(G23="NO,NA","0",IF(G23="NO,IE","0",IF(G23="NO,NE","0",IF(G23="","0",IF(G23="NO,NE,IE","0",IF(G23="NE","0",IF(G23="NA,NE","0",IF(G23="NE,NA","0",IF(G23="NE,NO","0",IF(G23="IE,NO","0",IF(G23="IE,NA","0",IF(G23="NA,NO","0",IF(G23="NO,NA","0",IF(G23="IE,NA,NO","0",IF(G23="IE,NE,NO","0",IF(G23="NO,NE,NA","0",IF(G23="NA,NE,NO","0",IF(G23="NO,NE,IE,NA","0",IF(G23="IE,NA,NE,NO","0",G23))))))))))))))))))))))</f>
        <v>-271.92352779970895</v>
      </c>
      <c r="I23" s="26">
        <v>0</v>
      </c>
      <c r="J23" s="7">
        <f>IF(C23="NO","0",IF(C23="NA","0",IF(C23="IE","0",IF(C23="NO,NA","0",IF(C23="NO,IE","0",IF(C23="NO,NE","0",IF(C23="","0",IF(C23="NO,NE,IE","0",IF(C23="NE","0",IF(C23="NA,NE","0",IF(C23="NE,NA","0",IF(C23="NE,NO","0",IF(C23="IE,NO","0",IF(C23="IE,NA","0",IF(C23="NA,NO","0",IF(C23="NO,NA","0",IF(C23="IE,NA,NO","0",IF(C23="IE,NE,NO","0",IF(C23="NO,NE,NA","0",IF(C23="NA,NE,NO","0",IF(C23="NO,NE,IE,NA","0",IF(C23="IE,NA,NE,NO","0",C23))))))))))))))))))))))*'GWP CFs'!$B$3</f>
        <v>0</v>
      </c>
      <c r="K23" s="18">
        <f>IF(D23="NO","0",IF(D23="NA","0",IF(D23="IE","0",IF(D23="NO,NA","0",IF(D23="NO,IE","0",IF(D23="NO,NE","0",IF(D23="","0",IF(D23="NO,NE,IE","0",IF(D23="NE","0",IF(D23="NA,NE","0",IF(D23="NE,NA","0",IF(D23="NE,NO","0",IF(D23="IE,NO","0",IF(D23="IE,NA","0",IF(D23="NA,NO","0",IF(D23="NO,NA","0",IF(D23="IE,NA,NO","0",IF(D23="IE,NE,NO","0",IF(D23="NO,NE,NA","0",IF(D23="NA,NE,NO","0",IF(D23="NO,NE,IE,NA","0",IF(D23="IE,NA,NE,NO","0",D23))))))))))))))))))))))*'GWP CFs'!$B$4</f>
        <v>0</v>
      </c>
      <c r="L23" s="11">
        <f>IF(B23="NO","0",IF(B23="NA","0",IF(B23="IE","0",IF(B23="NO,NA","0",IF(B23="NO,IE","0",IF(B23="NO,NE","0",IF(B23="","0",IF(B23="NO,NE,IE","0",IF(B23="NE","0",IF(B23="NA,NE","0",IF(B23="NE,NA","0",IF(B23="NE,NO","0",IF(B23="IE,NO","0",IF(B23="IE,NA","0",IF(B23="NA,NO","0",IF(B23="NO,NA","0",IF(B23="IE,NA,NO","0",IF(B23="IE,NE,NO","0",IF(B23="NO,NE,NA","0",IF(B23="NA,NE,NO","0",IF(B23="NO,NE,IE,NA","0",IF(B23="IE,NA,NE,NO","0",B23))))))))))))))))))))))+J23+K23</f>
        <v>-271.92352779970895</v>
      </c>
      <c r="M23" s="24">
        <v>0</v>
      </c>
      <c r="N23" s="24">
        <v>0</v>
      </c>
      <c r="O23" s="24">
        <v>0</v>
      </c>
      <c r="P23" s="41">
        <v>0</v>
      </c>
      <c r="Q23" s="25">
        <v>0</v>
      </c>
      <c r="R23" s="26">
        <v>0</v>
      </c>
      <c r="S23" s="24">
        <v>0</v>
      </c>
      <c r="T23" s="24">
        <v>0</v>
      </c>
      <c r="U23" s="24">
        <v>0</v>
      </c>
      <c r="V23" s="41">
        <v>0</v>
      </c>
      <c r="W23" s="25">
        <v>0</v>
      </c>
      <c r="X23" s="26">
        <v>0</v>
      </c>
      <c r="Y23" s="14">
        <f>[5]Table4.C!$D$10</f>
        <v>1011.0951799999998</v>
      </c>
      <c r="Z23" s="25">
        <v>0</v>
      </c>
      <c r="AA23" s="26">
        <v>0</v>
      </c>
    </row>
    <row r="24" spans="1:27" x14ac:dyDescent="0.35">
      <c r="A24" s="22" t="s">
        <v>44</v>
      </c>
      <c r="B24" s="25">
        <v>0</v>
      </c>
      <c r="C24" s="25">
        <v>0</v>
      </c>
      <c r="D24" s="48" t="str">
        <f>'[5]Table4(III)'!$D$17</f>
        <v>NO,NA</v>
      </c>
      <c r="E24" s="26">
        <v>0</v>
      </c>
      <c r="F24" s="12">
        <v>0</v>
      </c>
      <c r="G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CFs'!$C$4</f>
        <v>0</v>
      </c>
      <c r="H24" s="18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IF(F24="NO","0",IF(F24="NA","0",IF(F24="IE","0",IF(F24="NO,NA","0",IF(F24="NO,IE","0",IF(F24="NO,NE","0",IF(F24="","0",IF(F24="NO,NE,IE","0",IF(F24="NE","0",IF(F24="NA,NE","0",IF(F24="NE,NA","0",IF(F24="NE,NO","0",IF(F24="IE,NO","0",IF(F24="IE,NA","0",IF(F24="NA,NO","0",IF(F24="NO,NA","0",IF(F24="IE,NA,NO","0",IF(F24="IE,NE,NO","0",IF(F24="NO,NE,NA","0",IF(F24="NA,NE,NO","0",IF(F24="NO,NE,IE,NA","0",IF(F24="IE,NA,NE,NO","0",F24))))))))))))))))))))))+IF(G24="NO","0",IF(G24="NA","0",IF(G24="IE","0",IF(G24="NO,NA","0",IF(G24="NO,IE","0",IF(G24="NO,NE","0",IF(G24="","0",IF(G24="NO,NE,IE","0",IF(G24="NE","0",IF(G24="NA,NE","0",IF(G24="NE,NA","0",IF(G24="NE,NO","0",IF(G24="IE,NO","0",IF(G24="IE,NA","0",IF(G24="NA,NO","0",IF(G24="NO,NA","0",IF(G24="IE,NA,NO","0",IF(G24="IE,NE,NO","0",IF(G24="NO,NE,NA","0",IF(G24="NA,NE,NO","0",IF(G24="NO,NE,IE,NA","0",IF(G24="IE,NA,NE,NO","0",G24))))))))))))))))))))))</f>
        <v>0</v>
      </c>
      <c r="I24" s="26">
        <v>0</v>
      </c>
      <c r="J24" s="24">
        <v>0</v>
      </c>
      <c r="K24" s="18">
        <f>IF(D24="NO","0",IF(D24="NA","0",IF(D24="IE","0",IF(D24="NO,NA","0",IF(D24="NO,IE","0",IF(D24="NO,NE","0",IF(D24="","0",IF(D24="NO,NE,IE","0",IF(D24="NE","0",IF(D24="NA,NE","0",IF(D24="NE,NA","0",IF(D24="NE,NO","0",IF(D24="IE,NO","0",IF(D24="IE,NA","0",IF(D24="NA,NO","0",IF(D24="NO,NA","0",IF(D24="IE,NA,NO","0",IF(D24="IE,NE,NO","0",IF(D24="NO,NE,NA","0",IF(D24="NA,NE,NO","0",IF(D24="NO,NE,IE,NA","0",IF(D24="IE,NA,NE,NO","0",D24))))))))))))))))))))))*'GWP CFs'!$B$4</f>
        <v>0</v>
      </c>
      <c r="L24" s="11">
        <f>IF(B24="NO","0",IF(B24="NA","0",IF(B24="IE","0",IF(B24="NO,NA","0",IF(B24="NO,IE","0",IF(B24="NO,NE","0",IF(B24="","0",IF(B24="NO,NE,IE","0",IF(B24="NE","0",IF(B24="NA,NE","0",IF(B24="NE,NA","0",IF(B24="NE,NO","0",IF(B24="IE,NO","0",IF(B24="IE,NA","0",IF(B24="NA,NO","0",IF(B24="NO,NA","0",IF(B24="IE,NA,NO","0",IF(B24="IE,NE,NO","0",IF(B24="NO,NE,NA","0",IF(B24="NA,NE,NO","0",IF(B24="NO,NE,IE,NA","0",IF(B24="IE,NA,NE,NO","0",B24))))))))))))))))))))))+J24+K24</f>
        <v>0</v>
      </c>
      <c r="M24" s="24">
        <v>0</v>
      </c>
      <c r="N24" s="24">
        <v>0</v>
      </c>
      <c r="O24" s="24">
        <v>0</v>
      </c>
      <c r="P24" s="41">
        <v>0</v>
      </c>
      <c r="Q24" s="25">
        <v>0</v>
      </c>
      <c r="R24" s="26">
        <v>0</v>
      </c>
      <c r="S24" s="24">
        <v>0</v>
      </c>
      <c r="T24" s="24">
        <v>0</v>
      </c>
      <c r="U24" s="24">
        <v>0</v>
      </c>
      <c r="V24" s="41">
        <v>0</v>
      </c>
      <c r="W24" s="25">
        <v>0</v>
      </c>
      <c r="X24" s="26">
        <v>0</v>
      </c>
      <c r="Y24" s="48">
        <f>'[5]Table4(III)'!$B$17</f>
        <v>903.69953999999984</v>
      </c>
      <c r="Z24" s="25">
        <v>0</v>
      </c>
      <c r="AA24" s="26">
        <v>0</v>
      </c>
    </row>
    <row r="25" spans="1:27" x14ac:dyDescent="0.35">
      <c r="A25" s="6" t="s">
        <v>45</v>
      </c>
      <c r="B25" s="49" t="str">
        <f>'[5]Table4(II)'!$G$48</f>
        <v>NO</v>
      </c>
      <c r="C25" s="48" t="str">
        <f>'[5]Table4(II)'!$I$48</f>
        <v>NO</v>
      </c>
      <c r="D25" s="48" t="str">
        <f>'[5]Table4(II)'!$H$48</f>
        <v>NO</v>
      </c>
      <c r="E25" s="26">
        <v>0</v>
      </c>
      <c r="F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CFs'!$C$3</f>
        <v>0</v>
      </c>
      <c r="G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CFs'!$C$4</f>
        <v>0</v>
      </c>
      <c r="H25" s="18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IF(F25="NO","0",IF(F25="NA","0",IF(F25="IE","0",IF(F25="NO,NA","0",IF(F25="NO,IE","0",IF(F25="NO,NE","0",IF(F25="","0",IF(F25="NO,NE,IE","0",IF(F25="NE","0",IF(F25="NA,NE","0",IF(F25="NE,NA","0",IF(F25="NE,NO","0",IF(F25="IE,NO","0",IF(F25="IE,NA","0",IF(F25="NA,NO","0",IF(F25="NO,NA","0",IF(F25="IE,NA,NO","0",IF(F25="IE,NE,NO","0",IF(F25="NO,NE,NA","0",IF(F25="NA,NE,NO","0",IF(F25="NO,NE,IE,NA","0",IF(F25="IE,NA,NE,NO","0",F25))))))))))))))))))))))+IF(G25="NO","0",IF(G25="NA","0",IF(G25="IE","0",IF(G25="NO,NA","0",IF(G25="NO,IE","0",IF(G25="NO,NE","0",IF(G25="","0",IF(G25="NO,NE,IE","0",IF(G25="NE","0",IF(G25="NA,NE","0",IF(G25="NE,NA","0",IF(G25="NE,NO","0",IF(G25="IE,NO","0",IF(G25="IE,NA","0",IF(G25="NA,NO","0",IF(G25="NO,NA","0",IF(G25="IE,NA,NO","0",IF(G25="IE,NE,NO","0",IF(G25="NO,NE,NA","0",IF(G25="NA,NE,NO","0",IF(G25="NO,NE,IE,NA","0",IF(G25="IE,NA,NE,NO","0",G25))))))))))))))))))))))</f>
        <v>0</v>
      </c>
      <c r="I25" s="26">
        <v>0</v>
      </c>
      <c r="J25" s="7">
        <f>IF(C25="NO","0",IF(C25="NA","0",IF(C25="IE","0",IF(C25="NO,NA","0",IF(C25="NO,IE","0",IF(C25="NO,NE","0",IF(C25="","0",IF(C25="NO,NE,IE","0",IF(C25="NE","0",IF(C25="NA,NE","0",IF(C25="NE,NA","0",IF(C25="NE,NO","0",IF(C25="IE,NO","0",IF(C25="IE,NA","0",IF(C25="NA,NO","0",IF(C25="NO,NA","0",IF(C25="IE,NA,NO","0",IF(C25="IE,NE,NO","0",IF(C25="NO,NE,NA","0",IF(C25="NA,NE,NO","0",IF(C25="NO,NE,IE,NA","0",IF(C25="IE,NA,NE,NO","0",C25))))))))))))))))))))))*'GWP CFs'!$B$3</f>
        <v>0</v>
      </c>
      <c r="K25" s="18">
        <f>IF(D25="NO","0",IF(D25="NA","0",IF(D25="IE","0",IF(D25="NO,NA","0",IF(D25="NO,IE","0",IF(D25="NO,NE","0",IF(D25="","0",IF(D25="NO,NE,IE","0",IF(D25="NE","0",IF(D25="NA,NE","0",IF(D25="NE,NA","0",IF(D25="NE,NO","0",IF(D25="IE,NO","0",IF(D25="IE,NA","0",IF(D25="NA,NO","0",IF(D25="NO,NA","0",IF(D25="IE,NA,NO","0",IF(D25="IE,NE,NO","0",IF(D25="NO,NE,NA","0",IF(D25="NA,NE,NO","0",IF(D25="NO,NE,IE,NA","0",IF(D25="IE,NA,NE,NO","0",D25))))))))))))))))))))))*'GWP CFs'!$B$4</f>
        <v>0</v>
      </c>
      <c r="L25" s="11">
        <f>IF(B25="NO","0",IF(B25="NA","0",IF(B25="IE","0",IF(B25="NO,NA","0",IF(B25="NO,IE","0",IF(B25="NO,NE","0",IF(B25="","0",IF(B25="NO,NE,IE","0",IF(B25="NE","0",IF(B25="NA,NE","0",IF(B25="NE,NA","0",IF(B25="NE,NO","0",IF(B25="IE,NO","0",IF(B25="IE,NA","0",IF(B25="NA,NO","0",IF(B25="NO,NA","0",IF(B25="IE,NA,NO","0",IF(B25="IE,NE,NO","0",IF(B25="NO,NE,NA","0",IF(B25="NA,NE,NO","0",IF(B25="NO,NE,IE,NA","0",IF(B25="IE,NA,NE,NO","0",B25))))))))))))))))))))))+J25+K25</f>
        <v>0</v>
      </c>
      <c r="M25" s="24">
        <v>0</v>
      </c>
      <c r="N25" s="24">
        <v>0</v>
      </c>
      <c r="O25" s="24">
        <v>0</v>
      </c>
      <c r="P25" s="41">
        <v>0</v>
      </c>
      <c r="Q25" s="25">
        <v>0</v>
      </c>
      <c r="R25" s="26">
        <v>0</v>
      </c>
      <c r="S25" s="24">
        <v>0</v>
      </c>
      <c r="T25" s="24">
        <v>0</v>
      </c>
      <c r="U25" s="24">
        <v>0</v>
      </c>
      <c r="V25" s="41">
        <v>0</v>
      </c>
      <c r="W25" s="25">
        <v>0</v>
      </c>
      <c r="X25" s="26">
        <v>0</v>
      </c>
      <c r="Y25" s="48" t="str">
        <f>'[5]Table4(II)'!$C$48</f>
        <v>NO</v>
      </c>
      <c r="Z25" s="25">
        <v>0</v>
      </c>
      <c r="AA25" s="26">
        <v>0</v>
      </c>
    </row>
    <row r="26" spans="1:27" x14ac:dyDescent="0.35">
      <c r="A26" s="6" t="s">
        <v>24</v>
      </c>
      <c r="B26" s="7">
        <f>IF(E26="NO","0",IF(E26="NA","0",IF(E26="IE","0",IF(E26="NO,NA","0",IF(E26="NO,IE","0",IF(E26="NO,NE","0",IF(E26="","0",IF(E26="NO,NE,IE","0",IF(E26="NE","0",IF(E26="NA,NE","0",IF(E26="NE,NA","0",IF(E26="NE,NO","0",IF(E26="IE,NO","0",IF(E26="IE,NA","0",IF(E26="NA,NO","0",IF(E26="NO,NA","0",IF(E26="IE,NA,NO","0",IF(E26="IE,NE,NO","0",IF(E26="NO,NE,NA","0",IF(E26="NA,NE,NO","0",IF(E26="NO,NE,IE,NA","0",IF(E26="IE,NA,NE,NO","0",E26))))))))))))))))))))))*(-44/12)</f>
        <v>0</v>
      </c>
      <c r="C26" s="48" t="str">
        <f>'[5]Table4(II)'!$I$40</f>
        <v>NO</v>
      </c>
      <c r="D26" s="25">
        <v>0</v>
      </c>
      <c r="E26" s="9" t="str">
        <f>[5]Table4.C!$Q$10</f>
        <v>NO</v>
      </c>
      <c r="F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CFs'!$C$3</f>
        <v>0</v>
      </c>
      <c r="G26" s="21">
        <v>0</v>
      </c>
      <c r="H26" s="18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IF(F26="NO","0",IF(F26="NA","0",IF(F26="IE","0",IF(F26="NO,NA","0",IF(F26="NO,IE","0",IF(F26="NO,NE","0",IF(F26="","0",IF(F26="NO,NE,IE","0",IF(F26="NE","0",IF(F26="NA,NE","0",IF(F26="NE,NA","0",IF(F26="NE,NO","0",IF(F26="IE,NO","0",IF(F26="IE,NA","0",IF(F26="NA,NO","0",IF(F26="NO,NA","0",IF(F26="IE,NA,NO","0",IF(F26="IE,NE,NO","0",IF(F26="NO,NE,NA","0",IF(F26="NA,NE,NO","0",IF(F26="NO,NE,IE,NA","0",IF(F26="IE,NA,NE,NO","0",F26))))))))))))))))))))))+IF(G26="NO","0",IF(G26="NA","0",IF(G26="IE","0",IF(G26="NO,NA","0",IF(G26="NO,IE","0",IF(G26="NO,NE","0",IF(G26="","0",IF(G26="NO,NE,IE","0",IF(G26="NE","0",IF(G26="NA,NE","0",IF(G26="NE,NA","0",IF(G26="NE,NO","0",IF(G26="IE,NO","0",IF(G26="IE,NA","0",IF(G26="NA,NO","0",IF(G26="NO,NA","0",IF(G26="IE,NA,NO","0",IF(G26="IE,NE,NO","0",IF(G26="NO,NE,NA","0",IF(G26="NA,NE,NO","0",IF(G26="NO,NE,IE,NA","0",IF(G26="IE,NA,NE,NO","0",G26))))))))))))))))))))))</f>
        <v>0</v>
      </c>
      <c r="I26" s="26">
        <v>0</v>
      </c>
      <c r="J26" s="7">
        <f>IF(C26="NO","0",IF(C26="NA","0",IF(C26="IE","0",IF(C26="NO,NA","0",IF(C26="NO,IE","0",IF(C26="NO,NE","0",IF(C26="","0",IF(C26="NO,NE,IE","0",IF(C26="NE","0",IF(C26="NA,NE","0",IF(C26="NE,NA","0",IF(C26="NE,NO","0",IF(C26="IE,NO","0",IF(C26="IE,NA","0",IF(C26="NA,NO","0",IF(C26="NO,NA","0",IF(C26="IE,NA,NO","0",IF(C26="IE,NE,NO","0",IF(C26="NO,NE,NA","0",IF(C26="NA,NE,NO","0",IF(C26="NO,NE,IE,NA","0",IF(C26="IE,NA,NE,NO","0",C26))))))))))))))))))))))*'GWP CFs'!$B$3</f>
        <v>0</v>
      </c>
      <c r="K26" s="21">
        <v>0</v>
      </c>
      <c r="L26" s="11">
        <f>IF(B26="NO","0",IF(B26="NA","0",IF(B26="IE","0",IF(B26="NO,NA","0",IF(B26="NO,IE","0",IF(B26="NO,NE","0",IF(B26="","0",IF(B26="NO,NE,IE","0",IF(B26="NE","0",IF(B26="NA,NE","0",IF(B26="NE,NA","0",IF(B26="NE,NO","0",IF(B26="IE,NO","0",IF(B26="IE,NA","0",IF(B26="NA,NO","0",IF(B26="NO,NA","0",IF(B26="IE,NA,NO","0",IF(B26="IE,NE,NO","0",IF(B26="NO,NE,NA","0",IF(B26="NA,NE,NO","0",IF(B26="NO,NE,IE,NA","0",IF(B26="IE,NA,NE,NO","0",B26))))))))))))))))))))))+J26+K26</f>
        <v>0</v>
      </c>
      <c r="M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B$5*44/12</f>
        <v>0</v>
      </c>
      <c r="N26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0.95*EFs!$C$5/1000</f>
        <v>0</v>
      </c>
      <c r="O26" s="11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EFs!$E$5*44/28000</f>
        <v>0</v>
      </c>
      <c r="P26" s="7">
        <f>N26*'GWP CFs'!$B$3</f>
        <v>0</v>
      </c>
      <c r="Q26" s="7">
        <f>O26*'GWP CFs'!$B$4</f>
        <v>0</v>
      </c>
      <c r="R26" s="11">
        <f>M26+P26+Q26</f>
        <v>0</v>
      </c>
      <c r="S26" s="18">
        <f>AA26*EFs!$B$5*44/12</f>
        <v>93.655833333333348</v>
      </c>
      <c r="T26" s="18">
        <f>AA26*0.95*EFs!$C$5/1000</f>
        <v>6.863749999999999E-2</v>
      </c>
      <c r="U26" s="11">
        <f>AA26*EFs!$E$5*44/28000</f>
        <v>4.6082142857142863E-2</v>
      </c>
      <c r="V26" s="18">
        <f>T26*'GWP CFs'!$B$3</f>
        <v>1.9218499999999996</v>
      </c>
      <c r="W26" s="18">
        <f>U26*'GWP CFs'!$B$4</f>
        <v>12.211767857142858</v>
      </c>
      <c r="X26" s="11">
        <f>S26+V26+W26</f>
        <v>107.78945119047621</v>
      </c>
      <c r="Y26" s="14" t="str">
        <f>[5]Table4.C!$E$10</f>
        <v>NO</v>
      </c>
      <c r="Z26" s="25">
        <v>0</v>
      </c>
      <c r="AA26" s="39">
        <v>4.25</v>
      </c>
    </row>
    <row r="27" spans="1:27" x14ac:dyDescent="0.35">
      <c r="A27" s="6" t="s">
        <v>46</v>
      </c>
      <c r="B27" s="25">
        <v>0</v>
      </c>
      <c r="C27" s="21">
        <v>0</v>
      </c>
      <c r="D27" s="25">
        <v>0</v>
      </c>
      <c r="E27" s="26">
        <v>0</v>
      </c>
      <c r="F27" s="12">
        <v>0</v>
      </c>
      <c r="G27" s="12">
        <v>0</v>
      </c>
      <c r="H27" s="12">
        <v>0</v>
      </c>
      <c r="I27" s="38">
        <v>0</v>
      </c>
      <c r="J27" s="12">
        <v>0</v>
      </c>
      <c r="K27" s="45">
        <v>0</v>
      </c>
      <c r="L27" s="38">
        <v>0</v>
      </c>
      <c r="M27" s="12">
        <v>0</v>
      </c>
      <c r="N27" s="18">
        <f>IF(Y26="NO","0",IF(Y26="NA","0",IF(Y26="IE","0",IF(Y26="NO,NA","0",IF(Y26="NO,IE","0",IF(Y26="NO,NE","0",IF(Y26="","0",IF(Y26="NO,NE,IE","0",IF(Y26="NE","0",IF(Y26="NA,NE","0",IF(Y26="NE,NA","0",IF(Y26="NE,NO","0",IF(Y26="IE,NO","0",IF(Y26="IE,NA","0",IF(Y26="NA,NO","0",IF(Y26="NO,NA","0",IF(Y26="IE,NA,NO","0",IF(Y26="IE,NE,NO","0",IF(Y26="NO,NE,NA","0",IF(Y26="NA,NE,NO","0",IF(Y26="NO,NE,IE,NA","0",IF(Y26="IE,NA,NE,NO","0",Y26))))))))))))))))))))))*0.05*EFs!$D$5/1000</f>
        <v>0</v>
      </c>
      <c r="O27" s="10">
        <v>0</v>
      </c>
      <c r="P27" s="7">
        <f>N27*'GWP CFs'!$B$3</f>
        <v>0</v>
      </c>
      <c r="Q27" s="21">
        <v>0</v>
      </c>
      <c r="R27" s="11">
        <f>P27</f>
        <v>0</v>
      </c>
      <c r="S27" s="25">
        <v>0</v>
      </c>
      <c r="T27" s="18">
        <f>AA26*0.05*EFs!$D$5/1000</f>
        <v>0.21398750000000002</v>
      </c>
      <c r="U27" s="26">
        <v>0</v>
      </c>
      <c r="V27" s="18">
        <f>T27*'GWP CFs'!$B$3</f>
        <v>5.9916500000000008</v>
      </c>
      <c r="W27" s="25">
        <v>0</v>
      </c>
      <c r="X27" s="11">
        <f>V27</f>
        <v>5.9916500000000008</v>
      </c>
      <c r="Y27" s="25">
        <v>0</v>
      </c>
      <c r="Z27" s="25">
        <v>0</v>
      </c>
      <c r="AA27" s="26">
        <v>0</v>
      </c>
    </row>
    <row r="28" spans="1:27" x14ac:dyDescent="0.35">
      <c r="A28" s="28" t="s">
        <v>133</v>
      </c>
      <c r="B28" s="34">
        <v>0</v>
      </c>
      <c r="C28" s="76">
        <v>0</v>
      </c>
      <c r="D28" s="34">
        <v>0</v>
      </c>
      <c r="E28" s="30">
        <v>0</v>
      </c>
      <c r="F28" s="76">
        <v>0</v>
      </c>
      <c r="G28" s="76">
        <v>0</v>
      </c>
      <c r="H28" s="76">
        <v>0</v>
      </c>
      <c r="I28" s="77">
        <v>0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7">
        <v>0</v>
      </c>
      <c r="P28" s="76">
        <v>0</v>
      </c>
      <c r="Q28" s="76">
        <v>0</v>
      </c>
      <c r="R28" s="77">
        <v>0</v>
      </c>
      <c r="S28" s="31">
        <f>S29</f>
        <v>0</v>
      </c>
      <c r="T28" s="31">
        <f>T29+T30</f>
        <v>0</v>
      </c>
      <c r="U28" s="33">
        <f>U29</f>
        <v>0</v>
      </c>
      <c r="V28" s="31">
        <f>V29+V30</f>
        <v>0</v>
      </c>
      <c r="W28" s="31">
        <f>W29</f>
        <v>0</v>
      </c>
      <c r="X28" s="33">
        <f>X29+X30</f>
        <v>0</v>
      </c>
      <c r="Y28" s="34">
        <v>0</v>
      </c>
      <c r="Z28" s="34">
        <v>0</v>
      </c>
      <c r="AA28" s="30">
        <v>0</v>
      </c>
    </row>
    <row r="29" spans="1:27" x14ac:dyDescent="0.35">
      <c r="A29" s="6" t="s">
        <v>24</v>
      </c>
      <c r="B29" s="25">
        <v>0</v>
      </c>
      <c r="C29" s="21">
        <v>0</v>
      </c>
      <c r="D29" s="25">
        <v>0</v>
      </c>
      <c r="E29" s="26">
        <v>0</v>
      </c>
      <c r="F29" s="21">
        <v>0</v>
      </c>
      <c r="G29" s="21">
        <v>0</v>
      </c>
      <c r="H29" s="21">
        <v>0</v>
      </c>
      <c r="I29" s="10">
        <v>0</v>
      </c>
      <c r="J29" s="21">
        <v>0</v>
      </c>
      <c r="K29" s="21">
        <v>0</v>
      </c>
      <c r="L29" s="10">
        <v>0</v>
      </c>
      <c r="M29" s="21">
        <v>0</v>
      </c>
      <c r="N29" s="21">
        <v>0</v>
      </c>
      <c r="O29" s="10">
        <v>0</v>
      </c>
      <c r="P29" s="21">
        <v>0</v>
      </c>
      <c r="Q29" s="21">
        <v>0</v>
      </c>
      <c r="R29" s="10">
        <v>0</v>
      </c>
      <c r="S29" s="18">
        <f>AA29*EFs!$B$9*44/12</f>
        <v>0</v>
      </c>
      <c r="T29" s="18">
        <f>AA29*0.95*EFs!$C$9/1000</f>
        <v>0</v>
      </c>
      <c r="U29" s="11">
        <f>AA29*EFs!$E$9*44/28000</f>
        <v>0</v>
      </c>
      <c r="V29" s="18">
        <f>T29*'GWP CFs'!$B$3</f>
        <v>0</v>
      </c>
      <c r="W29" s="18">
        <f>U29*'GWP CFs'!$B$4</f>
        <v>0</v>
      </c>
      <c r="X29" s="11">
        <f>S29+V29+W29</f>
        <v>0</v>
      </c>
      <c r="Y29" s="25">
        <v>0</v>
      </c>
      <c r="Z29" s="25">
        <v>0</v>
      </c>
      <c r="AA29" s="39">
        <v>0</v>
      </c>
    </row>
    <row r="30" spans="1:27" x14ac:dyDescent="0.35">
      <c r="A30" s="97" t="s">
        <v>46</v>
      </c>
      <c r="B30" s="90">
        <v>0</v>
      </c>
      <c r="C30" s="45">
        <v>0</v>
      </c>
      <c r="D30" s="90">
        <v>0</v>
      </c>
      <c r="E30" s="42">
        <v>0</v>
      </c>
      <c r="F30" s="45">
        <v>0</v>
      </c>
      <c r="G30" s="45">
        <v>0</v>
      </c>
      <c r="H30" s="45">
        <v>0</v>
      </c>
      <c r="I30" s="38">
        <v>0</v>
      </c>
      <c r="J30" s="45">
        <v>0</v>
      </c>
      <c r="K30" s="45">
        <v>0</v>
      </c>
      <c r="L30" s="38">
        <v>0</v>
      </c>
      <c r="M30" s="45">
        <v>0</v>
      </c>
      <c r="N30" s="45">
        <v>0</v>
      </c>
      <c r="O30" s="38">
        <v>0</v>
      </c>
      <c r="P30" s="45">
        <v>0</v>
      </c>
      <c r="Q30" s="45">
        <v>0</v>
      </c>
      <c r="R30" s="38">
        <v>0</v>
      </c>
      <c r="S30" s="90">
        <v>0</v>
      </c>
      <c r="T30" s="44">
        <f>AA29*0.05*EFs!$D$9/1000</f>
        <v>0</v>
      </c>
      <c r="U30" s="42">
        <v>0</v>
      </c>
      <c r="V30" s="44">
        <f>T30*'GWP CFs'!$B$3</f>
        <v>0</v>
      </c>
      <c r="W30" s="90">
        <v>0</v>
      </c>
      <c r="X30" s="46">
        <f>V30</f>
        <v>0</v>
      </c>
      <c r="Y30" s="90">
        <v>0</v>
      </c>
      <c r="Z30" s="90">
        <v>0</v>
      </c>
      <c r="AA30" s="42">
        <v>0</v>
      </c>
    </row>
  </sheetData>
  <mergeCells count="9">
    <mergeCell ref="S1:U1"/>
    <mergeCell ref="V1:X1"/>
    <mergeCell ref="Y1:AA1"/>
    <mergeCell ref="A1:A2"/>
    <mergeCell ref="B1:E1"/>
    <mergeCell ref="F1:I1"/>
    <mergeCell ref="J1:L1"/>
    <mergeCell ref="M1:O1"/>
    <mergeCell ref="P1:R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32</vt:i4>
      </vt:variant>
    </vt:vector>
  </HeadingPairs>
  <TitlesOfParts>
    <vt:vector size="32" baseType="lpstr">
      <vt:lpstr>Summary</vt:lpstr>
      <vt:lpstr>GWP CFs</vt:lpstr>
      <vt:lpstr>EFs</vt:lpstr>
      <vt:lpstr>Legend</vt:lpstr>
      <vt:lpstr>AUT</vt:lpstr>
      <vt:lpstr>BEL</vt:lpstr>
      <vt:lpstr>BGR</vt:lpstr>
      <vt:lpstr>CYP</vt:lpstr>
      <vt:lpstr>CZE</vt:lpstr>
      <vt:lpstr>DEU</vt:lpstr>
      <vt:lpstr>DNK</vt:lpstr>
      <vt:lpstr>ESP</vt:lpstr>
      <vt:lpstr>EST</vt:lpstr>
      <vt:lpstr>FIN</vt:lpstr>
      <vt:lpstr>FRA</vt:lpstr>
      <vt:lpstr>GBR</vt:lpstr>
      <vt:lpstr>GRC</vt:lpstr>
      <vt:lpstr>HRV</vt:lpstr>
      <vt:lpstr>HUN</vt:lpstr>
      <vt:lpstr>IRL</vt:lpstr>
      <vt:lpstr>ITA</vt:lpstr>
      <vt:lpstr>LTU</vt:lpstr>
      <vt:lpstr>LUX</vt:lpstr>
      <vt:lpstr>LVA</vt:lpstr>
      <vt:lpstr>MLT</vt:lpstr>
      <vt:lpstr>NLD</vt:lpstr>
      <vt:lpstr>POL</vt:lpstr>
      <vt:lpstr>PRT</vt:lpstr>
      <vt:lpstr>ROU</vt:lpstr>
      <vt:lpstr>SVK</vt:lpstr>
      <vt:lpstr>SVN</vt:lpstr>
      <vt:lpstr>SWE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Martin&amp;Couwenberg 2021_data</dc:title>
  <dc:creator>greta;GMC</dc:creator>
  <cp:keywords>peatland</cp:keywords>
  <cp:lastModifiedBy>Greta</cp:lastModifiedBy>
  <dcterms:created xsi:type="dcterms:W3CDTF">2020-06-29T08:45:06Z</dcterms:created>
  <dcterms:modified xsi:type="dcterms:W3CDTF">2021-12-10T09:53:47Z</dcterms:modified>
  <cp:category>GMC proceedings</cp:category>
</cp:coreProperties>
</file>